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L:\EWMS\03 Program Files\SMC Energy Watch Program\RICAPS\6. Forecasting Tool\"/>
    </mc:Choice>
  </mc:AlternateContent>
  <xr:revisionPtr revIDLastSave="0" documentId="13_ncr:1_{129C161A-B8F2-4794-958A-D4A85F2BABF8}" xr6:coauthVersionLast="41" xr6:coauthVersionMax="44" xr10:uidLastSave="{00000000-0000-0000-0000-000000000000}"/>
  <bookViews>
    <workbookView xWindow="-110" yWindow="-110" windowWidth="19420" windowHeight="10420" tabRatio="822" xr2:uid="{00000000-000D-0000-FFFF-FFFF00000000}"/>
  </bookViews>
  <sheets>
    <sheet name="Introduction" sheetId="7" r:id="rId1"/>
    <sheet name="GHG Inventories" sheetId="13" r:id="rId2"/>
    <sheet name="Forecast" sheetId="5" r:id="rId3"/>
    <sheet name="Chart Areas" sheetId="35" r:id="rId4"/>
    <sheet name="Calcs" sheetId="23" state="hidden" r:id="rId5"/>
    <sheet name="State Policies + Assumptions" sheetId="11" r:id="rId6"/>
    <sheet name="Plan Bay Area Data" sheetId="4" r:id="rId7"/>
    <sheet name="2030 Emissions Reduction Summ." sheetId="14" state="hidden" r:id="rId8"/>
    <sheet name="Menu Of Measures Inputs" sheetId="18" r:id="rId9"/>
    <sheet name="SMC_EMFAC_2015" sheetId="19" state="hidden" r:id="rId10"/>
    <sheet name="SMC_EMFAC_2017" sheetId="24" r:id="rId11"/>
    <sheet name="SMC_EMFAC_2020" sheetId="20" r:id="rId12"/>
    <sheet name="SMC_EMFAC_2030" sheetId="21" r:id="rId13"/>
    <sheet name="SMC_EMFAC_2040" sheetId="29" r:id="rId14"/>
    <sheet name="SMC_EMFAC_2045" sheetId="33" r:id="rId15"/>
    <sheet name="SMC_EMFAC_2050" sheetId="34" r:id="rId16"/>
    <sheet name="Graphs" sheetId="22" state="hidden" r:id="rId17"/>
  </sheets>
  <externalReferences>
    <externalReference r:id="rId18"/>
  </externalReferences>
  <definedNames>
    <definedName name="_xlnm._FilterDatabase" localSheetId="16" hidden="1">Graphs!$D$91:$F$91</definedName>
    <definedName name="_xlnm._FilterDatabase" localSheetId="9" hidden="1">SMC_EMFAC_2015!$B$9:$BK$9</definedName>
    <definedName name="_xlnm._FilterDatabase" localSheetId="10" hidden="1">SMC_EMFAC_2017!$A$9:$BN$9</definedName>
    <definedName name="_xlnm._FilterDatabase" localSheetId="11" hidden="1">SMC_EMFAC_2020!$B$9:$BK$9</definedName>
    <definedName name="_xlnm._FilterDatabase" localSheetId="12" hidden="1">SMC_EMFAC_2030!$A$9:$BJ$9</definedName>
    <definedName name="_xlnm._FilterDatabase" localSheetId="13" hidden="1">SMC_EMFAC_2040!$A$9:$BN$65</definedName>
    <definedName name="_xlnm._FilterDatabase" localSheetId="14" hidden="1">SMC_EMFAC_2045!$A$9:$BN$65</definedName>
    <definedName name="_xlnm._FilterDatabase" localSheetId="15" hidden="1">SMC_EMFAC_2050!$A$9:$BN$63</definedName>
    <definedName name="_xlnm._FilterDatabase" localSheetId="5" hidden="1">'State Policies + Assumptions'!$B$253:$E$253</definedName>
    <definedName name="ClosureCalcYes">'[1]Year 2030 at 90% diver+incin'!#REF!</definedName>
    <definedName name="ClosureYear">'[1]Year 2030 at 90% diver+incin'!#REF!</definedName>
    <definedName name="OpenYear">'[1]Year 2030 at 90% diver+incin'!#REF!</definedName>
    <definedName name="WasteCapacity">'[1]Year 2030 at 90% diver+incin'!#REF!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9" i="35" l="1"/>
  <c r="K49" i="35"/>
  <c r="H16" i="35"/>
  <c r="H17" i="35"/>
  <c r="H18" i="35"/>
  <c r="H19" i="35"/>
  <c r="H20" i="35"/>
  <c r="H21" i="35"/>
  <c r="H22" i="35"/>
  <c r="H23" i="35"/>
  <c r="H24" i="35"/>
  <c r="H25" i="35"/>
  <c r="H26" i="35"/>
  <c r="H27" i="35"/>
  <c r="H28" i="35"/>
  <c r="H29" i="35"/>
  <c r="H30" i="35"/>
  <c r="H31" i="35"/>
  <c r="H32" i="35"/>
  <c r="H33" i="35"/>
  <c r="H34" i="35"/>
  <c r="H35" i="35"/>
  <c r="H36" i="35"/>
  <c r="H37" i="35"/>
  <c r="H38" i="35"/>
  <c r="H39" i="35"/>
  <c r="H40" i="35"/>
  <c r="H41" i="35"/>
  <c r="H42" i="35"/>
  <c r="H43" i="35"/>
  <c r="H44" i="35"/>
  <c r="H45" i="35"/>
  <c r="H46" i="35"/>
  <c r="H47" i="35"/>
  <c r="H48" i="35"/>
  <c r="H15" i="35"/>
  <c r="P16" i="35" l="1"/>
  <c r="P17" i="35"/>
  <c r="P18" i="35"/>
  <c r="P19" i="35"/>
  <c r="P20" i="35"/>
  <c r="P21" i="35"/>
  <c r="P22" i="35"/>
  <c r="P23" i="35"/>
  <c r="P24" i="35"/>
  <c r="P25" i="35"/>
  <c r="P26" i="35"/>
  <c r="P27" i="35"/>
  <c r="P28" i="35"/>
  <c r="P29" i="35"/>
  <c r="P30" i="35"/>
  <c r="P31" i="35"/>
  <c r="P32" i="35"/>
  <c r="P33" i="35"/>
  <c r="P34" i="35"/>
  <c r="P35" i="35"/>
  <c r="P36" i="35"/>
  <c r="P37" i="35"/>
  <c r="P38" i="35"/>
  <c r="P39" i="35"/>
  <c r="P40" i="35"/>
  <c r="P41" i="35"/>
  <c r="P42" i="35"/>
  <c r="P43" i="35"/>
  <c r="P44" i="35"/>
  <c r="P45" i="35"/>
  <c r="P46" i="35"/>
  <c r="P47" i="35"/>
  <c r="P48" i="35"/>
  <c r="P15" i="35"/>
  <c r="L15" i="35"/>
  <c r="N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2" i="35"/>
  <c r="O43" i="35"/>
  <c r="O44" i="35"/>
  <c r="O45" i="35"/>
  <c r="O46" i="35"/>
  <c r="O47" i="35"/>
  <c r="O48" i="35"/>
  <c r="O15" i="35"/>
  <c r="M15" i="35"/>
  <c r="N16" i="35"/>
  <c r="N17" i="35"/>
  <c r="N18" i="35"/>
  <c r="N19" i="35"/>
  <c r="N20" i="35"/>
  <c r="N21" i="35"/>
  <c r="N22" i="35"/>
  <c r="N23" i="35"/>
  <c r="N24" i="35"/>
  <c r="N25" i="35"/>
  <c r="N26" i="35"/>
  <c r="N27" i="35"/>
  <c r="N28" i="35"/>
  <c r="N29" i="35"/>
  <c r="N30" i="35"/>
  <c r="N31" i="35"/>
  <c r="N32" i="35"/>
  <c r="N33" i="35"/>
  <c r="N34" i="35"/>
  <c r="N35" i="35"/>
  <c r="N36" i="35"/>
  <c r="N37" i="35"/>
  <c r="N38" i="35"/>
  <c r="N39" i="35"/>
  <c r="N40" i="35"/>
  <c r="N41" i="35"/>
  <c r="N42" i="35"/>
  <c r="N43" i="35"/>
  <c r="N44" i="35"/>
  <c r="N45" i="35"/>
  <c r="N46" i="35"/>
  <c r="N47" i="35"/>
  <c r="N48" i="35"/>
  <c r="M16" i="35"/>
  <c r="M17" i="35"/>
  <c r="M18" i="35"/>
  <c r="M19" i="35"/>
  <c r="M20" i="35"/>
  <c r="M21" i="35"/>
  <c r="M22" i="35"/>
  <c r="M23" i="35"/>
  <c r="M24" i="35"/>
  <c r="M25" i="35"/>
  <c r="M26" i="35"/>
  <c r="M27" i="35"/>
  <c r="M28" i="35"/>
  <c r="M29" i="35"/>
  <c r="M30" i="35"/>
  <c r="M31" i="35"/>
  <c r="M32" i="35"/>
  <c r="M33" i="35"/>
  <c r="M34" i="35"/>
  <c r="M35" i="35"/>
  <c r="M36" i="35"/>
  <c r="M37" i="35"/>
  <c r="M38" i="35"/>
  <c r="M39" i="35"/>
  <c r="M40" i="35"/>
  <c r="M41" i="35"/>
  <c r="M42" i="35"/>
  <c r="M43" i="35"/>
  <c r="M44" i="35"/>
  <c r="M45" i="35"/>
  <c r="M46" i="35"/>
  <c r="M47" i="35"/>
  <c r="M48"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43" i="35"/>
  <c r="G44" i="35"/>
  <c r="G45" i="35"/>
  <c r="G46" i="35"/>
  <c r="G47" i="35"/>
  <c r="G48" i="35"/>
  <c r="G15" i="35"/>
  <c r="F16" i="35"/>
  <c r="F17" i="35"/>
  <c r="F18" i="35"/>
  <c r="F19" i="35"/>
  <c r="F20" i="35"/>
  <c r="F21" i="35"/>
  <c r="F22" i="35"/>
  <c r="F23" i="35"/>
  <c r="F24" i="35"/>
  <c r="F25" i="35"/>
  <c r="F26" i="35"/>
  <c r="F27" i="35"/>
  <c r="F28" i="35"/>
  <c r="F29" i="35"/>
  <c r="F30" i="35"/>
  <c r="F31" i="35"/>
  <c r="F32" i="35"/>
  <c r="F33" i="35"/>
  <c r="F34" i="35"/>
  <c r="F35" i="35"/>
  <c r="F36" i="35"/>
  <c r="F37" i="35"/>
  <c r="F38" i="35"/>
  <c r="F39" i="35"/>
  <c r="F40" i="35"/>
  <c r="F41" i="35"/>
  <c r="F42" i="35"/>
  <c r="F43" i="35"/>
  <c r="F44" i="35"/>
  <c r="F45" i="35"/>
  <c r="F46" i="35"/>
  <c r="F47" i="35"/>
  <c r="F48" i="35"/>
  <c r="F15" i="35"/>
  <c r="G108" i="5" l="1"/>
  <c r="F108" i="5"/>
  <c r="I15" i="35"/>
  <c r="K15" i="35" s="1"/>
  <c r="B16" i="35"/>
  <c r="I16" i="35"/>
  <c r="K16" i="35" s="1"/>
  <c r="I17" i="35"/>
  <c r="I18" i="35"/>
  <c r="I19" i="35"/>
  <c r="K19" i="35" s="1"/>
  <c r="I20" i="35"/>
  <c r="K20" i="35" s="1"/>
  <c r="I21" i="35"/>
  <c r="I22" i="35"/>
  <c r="I23" i="35"/>
  <c r="K23" i="35" s="1"/>
  <c r="I24" i="35"/>
  <c r="K24" i="35" s="1"/>
  <c r="I25" i="35"/>
  <c r="I26" i="35"/>
  <c r="K26" i="35" s="1"/>
  <c r="I27" i="35"/>
  <c r="K27" i="35" s="1"/>
  <c r="I28" i="35"/>
  <c r="K28" i="35" s="1"/>
  <c r="I29" i="35"/>
  <c r="I30" i="35"/>
  <c r="K30" i="35" s="1"/>
  <c r="I31" i="35"/>
  <c r="K31" i="35" s="1"/>
  <c r="I32" i="35"/>
  <c r="K32" i="35" s="1"/>
  <c r="I33" i="35"/>
  <c r="I34" i="35"/>
  <c r="K34" i="35" s="1"/>
  <c r="I35" i="35"/>
  <c r="K35" i="35" s="1"/>
  <c r="I36" i="35"/>
  <c r="K36" i="35" s="1"/>
  <c r="I37" i="35"/>
  <c r="I38" i="35"/>
  <c r="I39" i="35"/>
  <c r="K39" i="35" s="1"/>
  <c r="I40" i="35"/>
  <c r="K40" i="35" s="1"/>
  <c r="I41" i="35"/>
  <c r="I42" i="35"/>
  <c r="K42" i="35" s="1"/>
  <c r="I43" i="35"/>
  <c r="K43" i="35" s="1"/>
  <c r="I44" i="35"/>
  <c r="K44" i="35" s="1"/>
  <c r="I45" i="35"/>
  <c r="I46" i="35"/>
  <c r="I47" i="35"/>
  <c r="K47" i="35" s="1"/>
  <c r="I48" i="35"/>
  <c r="K48" i="35" s="1"/>
  <c r="D15" i="35"/>
  <c r="J15" i="35" s="1"/>
  <c r="K18" i="35"/>
  <c r="K22" i="35"/>
  <c r="K38" i="35"/>
  <c r="K46" i="35"/>
  <c r="K17" i="35"/>
  <c r="K21" i="35"/>
  <c r="K25" i="35"/>
  <c r="K29" i="35"/>
  <c r="K33" i="35"/>
  <c r="K37" i="35"/>
  <c r="K41" i="35"/>
  <c r="K45" i="35"/>
  <c r="D48" i="35"/>
  <c r="J48" i="35" s="1"/>
  <c r="D47" i="35"/>
  <c r="J47" i="35" s="1"/>
  <c r="D46" i="35"/>
  <c r="J46" i="35" s="1"/>
  <c r="D45" i="35"/>
  <c r="J45" i="35" s="1"/>
  <c r="D44" i="35"/>
  <c r="J44" i="35" s="1"/>
  <c r="D43" i="35"/>
  <c r="J43" i="35" s="1"/>
  <c r="D42" i="35"/>
  <c r="J42" i="35" s="1"/>
  <c r="D41" i="35"/>
  <c r="J41" i="35" s="1"/>
  <c r="D40" i="35"/>
  <c r="J40" i="35" s="1"/>
  <c r="D39" i="35"/>
  <c r="J39" i="35" s="1"/>
  <c r="D38" i="35"/>
  <c r="J38" i="35" s="1"/>
  <c r="D37" i="35"/>
  <c r="J37" i="35" s="1"/>
  <c r="D36" i="35"/>
  <c r="J36" i="35" s="1"/>
  <c r="D35" i="35"/>
  <c r="J35" i="35" s="1"/>
  <c r="D34" i="35"/>
  <c r="J34" i="35" s="1"/>
  <c r="D33" i="35"/>
  <c r="J33" i="35" s="1"/>
  <c r="D32" i="35"/>
  <c r="J32" i="35" s="1"/>
  <c r="D31" i="35"/>
  <c r="J31" i="35" s="1"/>
  <c r="D30" i="35"/>
  <c r="J30" i="35" s="1"/>
  <c r="D29" i="35"/>
  <c r="J29" i="35" s="1"/>
  <c r="D28" i="35"/>
  <c r="J28" i="35" s="1"/>
  <c r="D27" i="35"/>
  <c r="J27" i="35" s="1"/>
  <c r="D26" i="35"/>
  <c r="J26" i="35" s="1"/>
  <c r="D25" i="35"/>
  <c r="J25" i="35" s="1"/>
  <c r="D24" i="35"/>
  <c r="J24" i="35" s="1"/>
  <c r="D23" i="35"/>
  <c r="J23" i="35" s="1"/>
  <c r="D22" i="35"/>
  <c r="J22" i="35" s="1"/>
  <c r="D21" i="35"/>
  <c r="J21" i="35" s="1"/>
  <c r="D20" i="35"/>
  <c r="J20" i="35" s="1"/>
  <c r="D19" i="35"/>
  <c r="J19" i="35" s="1"/>
  <c r="D18" i="35"/>
  <c r="J18" i="35" s="1"/>
  <c r="D17" i="35"/>
  <c r="J17" i="35" s="1"/>
  <c r="D16" i="35"/>
  <c r="J16" i="35" s="1"/>
  <c r="E254" i="11" l="1"/>
  <c r="C131" i="11" l="1"/>
  <c r="C81" i="11"/>
  <c r="C85" i="11"/>
  <c r="C89" i="11"/>
  <c r="C97" i="11"/>
  <c r="C105" i="11" s="1"/>
  <c r="C115" i="11" s="1"/>
  <c r="C57" i="11"/>
  <c r="C26" i="11"/>
  <c r="C12" i="11"/>
  <c r="C11" i="11"/>
  <c r="J50" i="5"/>
  <c r="AU132" i="5"/>
  <c r="L50" i="5" l="1"/>
  <c r="D63" i="5" l="1"/>
  <c r="D62" i="5"/>
  <c r="D61" i="5"/>
  <c r="D60" i="5"/>
  <c r="D59" i="5"/>
  <c r="D58" i="5"/>
  <c r="X16" i="18"/>
  <c r="X12" i="18"/>
  <c r="W16" i="18"/>
  <c r="W12" i="18"/>
  <c r="V16" i="18"/>
  <c r="S16" i="18"/>
  <c r="R16" i="18"/>
  <c r="Q16" i="18"/>
  <c r="V12" i="18"/>
  <c r="F48" i="5" l="1"/>
  <c r="J48" i="5"/>
  <c r="N50" i="5"/>
  <c r="G181" i="11"/>
  <c r="G182" i="11" s="1"/>
  <c r="BF149" i="5"/>
  <c r="BF148" i="5"/>
  <c r="BF134" i="5"/>
  <c r="BF132" i="5"/>
  <c r="P162" i="5"/>
  <c r="F114" i="5" l="1"/>
  <c r="F115" i="5"/>
  <c r="F116" i="5"/>
  <c r="F117" i="5"/>
  <c r="F118" i="5"/>
  <c r="C183" i="11"/>
  <c r="C181" i="11"/>
  <c r="F181" i="11"/>
  <c r="F182" i="11" s="1"/>
  <c r="E181" i="11"/>
  <c r="E182" i="11" s="1"/>
  <c r="AJ148" i="5"/>
  <c r="C13" i="13"/>
  <c r="C15" i="13"/>
  <c r="D69" i="5"/>
  <c r="D67" i="5"/>
  <c r="D68" i="5"/>
  <c r="D66" i="5"/>
  <c r="D65" i="5"/>
  <c r="D64" i="5"/>
  <c r="E48" i="5"/>
  <c r="C77" i="11"/>
  <c r="H45" i="4"/>
  <c r="K60" i="4"/>
  <c r="K61" i="4"/>
  <c r="K62" i="4"/>
  <c r="K63" i="4"/>
  <c r="K64" i="4"/>
  <c r="K65" i="4"/>
  <c r="K66" i="4"/>
  <c r="K67" i="4"/>
  <c r="K68" i="4"/>
  <c r="K69" i="4"/>
  <c r="K70" i="4"/>
  <c r="K71" i="4"/>
  <c r="K72" i="4"/>
  <c r="K73" i="4"/>
  <c r="K74" i="4"/>
  <c r="K75" i="4"/>
  <c r="K76" i="4"/>
  <c r="K77" i="4"/>
  <c r="K78" i="4"/>
  <c r="K79" i="4"/>
  <c r="K80" i="4"/>
  <c r="K59" i="4"/>
  <c r="K86" i="4"/>
  <c r="K87" i="4"/>
  <c r="K88" i="4"/>
  <c r="K89" i="4"/>
  <c r="K90" i="4"/>
  <c r="K91" i="4"/>
  <c r="K92" i="4"/>
  <c r="K93" i="4"/>
  <c r="K94" i="4"/>
  <c r="K95" i="4"/>
  <c r="K96" i="4"/>
  <c r="K97" i="4"/>
  <c r="K98" i="4"/>
  <c r="K99" i="4"/>
  <c r="K100" i="4"/>
  <c r="K101" i="4"/>
  <c r="K102" i="4"/>
  <c r="K103" i="4"/>
  <c r="K104" i="4"/>
  <c r="K105" i="4"/>
  <c r="K106" i="4"/>
  <c r="K85" i="4"/>
  <c r="K112" i="4"/>
  <c r="K113" i="4"/>
  <c r="K114" i="4"/>
  <c r="K115" i="4"/>
  <c r="K116" i="4"/>
  <c r="K117" i="4"/>
  <c r="K118" i="4"/>
  <c r="K119" i="4"/>
  <c r="K120" i="4"/>
  <c r="K121" i="4"/>
  <c r="K122" i="4"/>
  <c r="K123" i="4"/>
  <c r="K124" i="4"/>
  <c r="K125" i="4"/>
  <c r="K126" i="4"/>
  <c r="K127" i="4"/>
  <c r="K128" i="4"/>
  <c r="K129" i="4"/>
  <c r="K130" i="4"/>
  <c r="K131" i="4"/>
  <c r="K132" i="4"/>
  <c r="K111" i="4"/>
  <c r="F147" i="4"/>
  <c r="F145" i="4"/>
  <c r="F143" i="4"/>
  <c r="E143" i="4"/>
  <c r="C129" i="11"/>
  <c r="C127" i="11"/>
  <c r="C125" i="11"/>
  <c r="C126" i="11"/>
  <c r="C75" i="11"/>
  <c r="C72" i="11"/>
  <c r="C70" i="11"/>
  <c r="C69" i="11"/>
  <c r="C21" i="11"/>
  <c r="C20" i="11"/>
  <c r="C19" i="11"/>
  <c r="H68" i="34"/>
  <c r="BN68" i="34"/>
  <c r="C8" i="11"/>
  <c r="C9" i="11"/>
  <c r="C7" i="11"/>
  <c r="N51" i="5" l="1"/>
  <c r="H132" i="5"/>
  <c r="H48" i="5"/>
  <c r="I48" i="5" s="1"/>
  <c r="K48" i="5"/>
  <c r="C99" i="11" s="1"/>
  <c r="N48" i="5"/>
  <c r="L51" i="5"/>
  <c r="J49" i="5"/>
  <c r="N49" i="5"/>
  <c r="J51" i="5"/>
  <c r="BO68" i="34"/>
  <c r="C10" i="11" s="1"/>
  <c r="H67" i="34"/>
  <c r="BO67" i="34" s="1"/>
  <c r="BN67" i="34"/>
  <c r="H69" i="34"/>
  <c r="BI68" i="34"/>
  <c r="BI67" i="34"/>
  <c r="H72" i="33"/>
  <c r="BP69" i="33" s="1"/>
  <c r="BN69" i="33"/>
  <c r="H71" i="33"/>
  <c r="H70" i="33"/>
  <c r="H69" i="33"/>
  <c r="BN70" i="33"/>
  <c r="BI70" i="33"/>
  <c r="BI69" i="33"/>
  <c r="BP69" i="29"/>
  <c r="BP70" i="29"/>
  <c r="BP71" i="29"/>
  <c r="BL67" i="21"/>
  <c r="BO69" i="29"/>
  <c r="BN70" i="29"/>
  <c r="BN69" i="29"/>
  <c r="BK67" i="20"/>
  <c r="BJ67" i="21"/>
  <c r="H71" i="29"/>
  <c r="H70" i="29"/>
  <c r="H69" i="29"/>
  <c r="H70" i="21"/>
  <c r="H68" i="21"/>
  <c r="H67" i="21"/>
  <c r="H69" i="21"/>
  <c r="BI70" i="29"/>
  <c r="BI69" i="29"/>
  <c r="N52" i="5" l="1"/>
  <c r="AZ146" i="5"/>
  <c r="I12" i="18" s="1"/>
  <c r="AZ148" i="5"/>
  <c r="AZ149" i="5"/>
  <c r="I15" i="18" s="1"/>
  <c r="AZ147" i="5"/>
  <c r="I13" i="18" s="1"/>
  <c r="AZ134" i="5"/>
  <c r="I7" i="18" s="1"/>
  <c r="AZ136" i="5"/>
  <c r="I8" i="18" s="1"/>
  <c r="AZ137" i="5"/>
  <c r="I11" i="18" s="1"/>
  <c r="AZ135" i="5"/>
  <c r="I10" i="18" s="1"/>
  <c r="O48" i="5"/>
  <c r="C101" i="11" s="1"/>
  <c r="AZ133" i="5"/>
  <c r="I9" i="18" s="1"/>
  <c r="AZ132" i="5"/>
  <c r="I6" i="18" s="1"/>
  <c r="J52" i="5"/>
  <c r="AD146" i="5"/>
  <c r="AD147" i="5"/>
  <c r="AD149" i="5"/>
  <c r="AD148" i="5"/>
  <c r="G16" i="18" s="1"/>
  <c r="AD133" i="5"/>
  <c r="AD132" i="5"/>
  <c r="AD134" i="5"/>
  <c r="AD137" i="5"/>
  <c r="G11" i="18" s="1"/>
  <c r="AD136" i="5"/>
  <c r="AD135" i="5"/>
  <c r="BK68" i="34"/>
  <c r="H70" i="34"/>
  <c r="BP68" i="34" s="1"/>
  <c r="BK67" i="34"/>
  <c r="BK69" i="34"/>
  <c r="BJ67" i="34"/>
  <c r="BJ68" i="34"/>
  <c r="BJ69" i="33"/>
  <c r="BK70" i="33"/>
  <c r="BK69" i="33"/>
  <c r="BK71" i="33"/>
  <c r="BO70" i="33"/>
  <c r="BO69" i="33"/>
  <c r="BJ70" i="33"/>
  <c r="H72" i="29"/>
  <c r="BK70" i="29"/>
  <c r="BJ69" i="29"/>
  <c r="BK69" i="29"/>
  <c r="BK71" i="29"/>
  <c r="BO70" i="29"/>
  <c r="BJ70" i="29"/>
  <c r="AE149" i="5" l="1"/>
  <c r="G15" i="18"/>
  <c r="AE135" i="5"/>
  <c r="G10" i="18"/>
  <c r="AE132" i="5"/>
  <c r="Q6" i="18" s="1"/>
  <c r="G6" i="18"/>
  <c r="AE147" i="5"/>
  <c r="G13" i="18"/>
  <c r="I16" i="18"/>
  <c r="AE134" i="5"/>
  <c r="G7" i="18"/>
  <c r="AE136" i="5"/>
  <c r="G8" i="18"/>
  <c r="AE133" i="5"/>
  <c r="Q9" i="18" s="1"/>
  <c r="G9" i="18"/>
  <c r="AE146" i="5"/>
  <c r="Q12" i="18" s="1"/>
  <c r="G12" i="18"/>
  <c r="BA132" i="5"/>
  <c r="S6" i="18" s="1"/>
  <c r="BA149" i="5"/>
  <c r="BA133" i="5"/>
  <c r="S9" i="18" s="1"/>
  <c r="BA136" i="5"/>
  <c r="BA134" i="5"/>
  <c r="BA146" i="5"/>
  <c r="S12" i="18" s="1"/>
  <c r="BA135" i="5"/>
  <c r="BA147" i="5"/>
  <c r="BP67" i="34"/>
  <c r="BP69" i="34"/>
  <c r="BP71" i="33"/>
  <c r="BP70" i="33"/>
  <c r="D143" i="4"/>
  <c r="C143" i="4"/>
  <c r="B143" i="4"/>
  <c r="D145" i="4"/>
  <c r="C145" i="4"/>
  <c r="B145" i="4"/>
  <c r="D147" i="4"/>
  <c r="C147" i="4"/>
  <c r="H147" i="4" s="1"/>
  <c r="B147" i="4"/>
  <c r="F113" i="5"/>
  <c r="H125" i="5" l="1"/>
  <c r="BD147" i="5"/>
  <c r="X13" i="18" s="1"/>
  <c r="S13" i="18"/>
  <c r="BD134" i="5"/>
  <c r="X7" i="18" s="1"/>
  <c r="S7" i="18"/>
  <c r="AH134" i="5"/>
  <c r="V7" i="18" s="1"/>
  <c r="Q7" i="18"/>
  <c r="AH147" i="5"/>
  <c r="V13" i="18" s="1"/>
  <c r="Q13" i="18"/>
  <c r="AH135" i="5"/>
  <c r="V10" i="18" s="1"/>
  <c r="Q10" i="18"/>
  <c r="BD149" i="5"/>
  <c r="X15" i="18" s="1"/>
  <c r="S15" i="18"/>
  <c r="BD135" i="5"/>
  <c r="X10" i="18" s="1"/>
  <c r="S10" i="18"/>
  <c r="BD136" i="5"/>
  <c r="X8" i="18" s="1"/>
  <c r="S8" i="18"/>
  <c r="AH136" i="5"/>
  <c r="V8" i="18" s="1"/>
  <c r="Q8" i="18"/>
  <c r="AH149" i="5"/>
  <c r="V15" i="18" s="1"/>
  <c r="Q15" i="18"/>
  <c r="E147" i="4"/>
  <c r="I147" i="4"/>
  <c r="H143" i="4"/>
  <c r="H145" i="4"/>
  <c r="E145" i="4" s="1"/>
  <c r="J87" i="4" s="1"/>
  <c r="J88" i="4"/>
  <c r="J96" i="4"/>
  <c r="J100" i="4"/>
  <c r="J86" i="4"/>
  <c r="J99" i="4"/>
  <c r="J93" i="4"/>
  <c r="J97" i="4"/>
  <c r="J90" i="4"/>
  <c r="J94" i="4"/>
  <c r="J91" i="4"/>
  <c r="J95" i="4"/>
  <c r="BJ149" i="5" l="1"/>
  <c r="BJ134" i="5"/>
  <c r="J60" i="4"/>
  <c r="J79" i="4"/>
  <c r="J74" i="4"/>
  <c r="J75" i="4"/>
  <c r="J73" i="4"/>
  <c r="J71" i="4"/>
  <c r="J72" i="4"/>
  <c r="J66" i="4"/>
  <c r="J59" i="4"/>
  <c r="J65" i="4"/>
  <c r="J64" i="4"/>
  <c r="I143" i="4"/>
  <c r="J70" i="4"/>
  <c r="J63" i="4"/>
  <c r="J69" i="4"/>
  <c r="J67" i="4"/>
  <c r="J68" i="4"/>
  <c r="J80" i="4"/>
  <c r="C76" i="11" s="1"/>
  <c r="J78" i="4"/>
  <c r="J62" i="4"/>
  <c r="J77" i="4"/>
  <c r="J61" i="4"/>
  <c r="J76" i="4"/>
  <c r="I145" i="4"/>
  <c r="J106" i="4"/>
  <c r="J105" i="4"/>
  <c r="J89" i="4"/>
  <c r="J102" i="4"/>
  <c r="J92" i="4"/>
  <c r="J132" i="4"/>
  <c r="J115" i="4"/>
  <c r="J119" i="4"/>
  <c r="J123" i="4"/>
  <c r="J127" i="4"/>
  <c r="J131" i="4"/>
  <c r="J112" i="4"/>
  <c r="J116" i="4"/>
  <c r="J120" i="4"/>
  <c r="J124" i="4"/>
  <c r="J128" i="4"/>
  <c r="J111" i="4"/>
  <c r="J113" i="4"/>
  <c r="J117" i="4"/>
  <c r="J121" i="4"/>
  <c r="J125" i="4"/>
  <c r="J129" i="4"/>
  <c r="J114" i="4"/>
  <c r="J118" i="4"/>
  <c r="J122" i="4"/>
  <c r="J126" i="4"/>
  <c r="J130" i="4"/>
  <c r="J103" i="4"/>
  <c r="J98" i="4"/>
  <c r="J101" i="4"/>
  <c r="J85" i="4"/>
  <c r="J104" i="4"/>
  <c r="D181" i="11"/>
  <c r="D182" i="11" s="1"/>
  <c r="AU148" i="5"/>
  <c r="C130" i="11" l="1"/>
  <c r="C74" i="11"/>
  <c r="C71" i="11"/>
  <c r="E49" i="5"/>
  <c r="C14" i="13"/>
  <c r="C12" i="13"/>
  <c r="C11" i="13"/>
  <c r="O49" i="5" l="1"/>
  <c r="K49" i="5"/>
  <c r="G48" i="5"/>
  <c r="L48" i="5"/>
  <c r="S132" i="5"/>
  <c r="T132" i="5" s="1"/>
  <c r="W132" i="5" s="1"/>
  <c r="L49" i="5"/>
  <c r="AO134" i="5" s="1"/>
  <c r="H51" i="5"/>
  <c r="H52" i="5" s="1"/>
  <c r="AO148" i="5"/>
  <c r="H16" i="18" s="1"/>
  <c r="H49" i="5"/>
  <c r="I49" i="5" s="1"/>
  <c r="M84" i="5"/>
  <c r="M83" i="5"/>
  <c r="M85" i="5"/>
  <c r="C16" i="11"/>
  <c r="C5" i="11"/>
  <c r="BO68" i="24"/>
  <c r="BO67" i="24"/>
  <c r="BP68" i="24"/>
  <c r="BP69" i="24"/>
  <c r="BP67" i="24"/>
  <c r="BN68" i="24"/>
  <c r="BN67" i="24"/>
  <c r="H69" i="24"/>
  <c r="H68" i="24"/>
  <c r="H70" i="24" s="1"/>
  <c r="H67" i="24"/>
  <c r="B15" i="35" l="1"/>
  <c r="AP134" i="5"/>
  <c r="H7" i="18"/>
  <c r="F6" i="18"/>
  <c r="C24" i="11"/>
  <c r="C25" i="11"/>
  <c r="C15" i="11"/>
  <c r="C13" i="11"/>
  <c r="C14" i="11"/>
  <c r="M49" i="5"/>
  <c r="AO135" i="5"/>
  <c r="AO137" i="5"/>
  <c r="H11" i="18" s="1"/>
  <c r="AO136" i="5"/>
  <c r="AO146" i="5"/>
  <c r="AO147" i="5"/>
  <c r="AO149" i="5"/>
  <c r="L52" i="5"/>
  <c r="S146" i="5"/>
  <c r="AO133" i="5"/>
  <c r="AO132" i="5"/>
  <c r="D85" i="5"/>
  <c r="C15" i="35" s="1"/>
  <c r="C85" i="5"/>
  <c r="M48" i="5"/>
  <c r="C100" i="11" s="1"/>
  <c r="E85" i="5"/>
  <c r="F85" i="5"/>
  <c r="G85" i="5"/>
  <c r="G7" i="23"/>
  <c r="G8" i="23" s="1"/>
  <c r="Q150" i="5"/>
  <c r="O162" i="5" s="1"/>
  <c r="AP133" i="5" l="1"/>
  <c r="R9" i="18" s="1"/>
  <c r="H9" i="18"/>
  <c r="AP147" i="5"/>
  <c r="H13" i="18"/>
  <c r="AP135" i="5"/>
  <c r="H10" i="18"/>
  <c r="AP146" i="5"/>
  <c r="R12" i="18" s="1"/>
  <c r="H12" i="18"/>
  <c r="AP136" i="5"/>
  <c r="AS136" i="5" s="1"/>
  <c r="H8" i="18"/>
  <c r="AP132" i="5"/>
  <c r="H6" i="18"/>
  <c r="AP149" i="5"/>
  <c r="H15" i="18"/>
  <c r="AS134" i="5"/>
  <c r="R7" i="18"/>
  <c r="C31" i="11"/>
  <c r="C32" i="11" s="1"/>
  <c r="C33" i="11" s="1"/>
  <c r="C34" i="11" s="1"/>
  <c r="C35" i="11" s="1"/>
  <c r="C36" i="11" s="1"/>
  <c r="C37" i="11" s="1"/>
  <c r="C38" i="11" s="1"/>
  <c r="R6" i="18" l="1"/>
  <c r="W8" i="18"/>
  <c r="R8" i="18"/>
  <c r="AS147" i="5"/>
  <c r="W13" i="18" s="1"/>
  <c r="R13" i="18"/>
  <c r="W7" i="18"/>
  <c r="AS149" i="5"/>
  <c r="R15" i="18"/>
  <c r="AS135" i="5"/>
  <c r="W10" i="18" s="1"/>
  <c r="R10" i="18"/>
  <c r="C60" i="11"/>
  <c r="C59" i="11"/>
  <c r="C58" i="11"/>
  <c r="C39" i="11"/>
  <c r="C56" i="11"/>
  <c r="C211" i="11"/>
  <c r="C213" i="11" s="1"/>
  <c r="W15" i="18" l="1"/>
  <c r="D19" i="18"/>
  <c r="D18" i="18"/>
  <c r="P16" i="18"/>
  <c r="O16" i="18"/>
  <c r="D16" i="18"/>
  <c r="D15" i="18"/>
  <c r="D13" i="18"/>
  <c r="U12" i="18"/>
  <c r="D12" i="18"/>
  <c r="D10" i="18"/>
  <c r="D9" i="18"/>
  <c r="D8" i="18"/>
  <c r="D7" i="18"/>
  <c r="D6" i="18"/>
  <c r="E138" i="5"/>
  <c r="D17" i="18" s="1"/>
  <c r="F132" i="5" l="1"/>
  <c r="F133" i="5"/>
  <c r="BB133" i="5" s="1"/>
  <c r="F134" i="5"/>
  <c r="BB134" i="5" s="1"/>
  <c r="F135" i="5"/>
  <c r="BB135" i="5" s="1"/>
  <c r="F136" i="5"/>
  <c r="BB136" i="5" s="1"/>
  <c r="F137" i="5"/>
  <c r="BB137" i="5" s="1"/>
  <c r="F139" i="5"/>
  <c r="F140" i="5"/>
  <c r="F141" i="5"/>
  <c r="F142" i="5"/>
  <c r="F143" i="5"/>
  <c r="F144" i="5"/>
  <c r="F145" i="5"/>
  <c r="F146" i="5"/>
  <c r="BB146" i="5" s="1"/>
  <c r="F147" i="5"/>
  <c r="BB147" i="5" s="1"/>
  <c r="F148" i="5"/>
  <c r="BB148" i="5" s="1"/>
  <c r="L148" i="5"/>
  <c r="T16" i="18" s="1"/>
  <c r="N148" i="5"/>
  <c r="W148" i="5"/>
  <c r="U16" i="18" s="1"/>
  <c r="Y148" i="5"/>
  <c r="F149" i="5"/>
  <c r="BB149" i="5" s="1"/>
  <c r="C182" i="11"/>
  <c r="N12" i="18" l="1"/>
  <c r="N160" i="5"/>
  <c r="C217" i="11"/>
  <c r="BC146" i="5"/>
  <c r="BF146" i="5" s="1"/>
  <c r="N9" i="18"/>
  <c r="BC133" i="5"/>
  <c r="BF133" i="5" s="1"/>
  <c r="N8" i="18"/>
  <c r="BC136" i="5"/>
  <c r="BE136" i="5" s="1"/>
  <c r="AQ132" i="5"/>
  <c r="AR132" i="5" s="1"/>
  <c r="BB132" i="5"/>
  <c r="G132" i="5"/>
  <c r="F135" i="11" s="1"/>
  <c r="BH148" i="5"/>
  <c r="AC16" i="18" s="1"/>
  <c r="N16" i="18"/>
  <c r="N10" i="18"/>
  <c r="BC135" i="5"/>
  <c r="N11" i="18"/>
  <c r="N15" i="18"/>
  <c r="BC149" i="5"/>
  <c r="N13" i="18"/>
  <c r="BC147" i="5"/>
  <c r="C18" i="18"/>
  <c r="N7" i="18"/>
  <c r="N159" i="5"/>
  <c r="BC134" i="5"/>
  <c r="AQ148" i="5"/>
  <c r="AF148" i="5"/>
  <c r="AQ135" i="5"/>
  <c r="M10" i="18" s="1"/>
  <c r="AF135" i="5"/>
  <c r="AQ147" i="5"/>
  <c r="M13" i="18" s="1"/>
  <c r="AF147" i="5"/>
  <c r="AQ134" i="5"/>
  <c r="M7" i="18" s="1"/>
  <c r="AF134" i="5"/>
  <c r="L7" i="18" s="1"/>
  <c r="AQ149" i="5"/>
  <c r="M15" i="18" s="1"/>
  <c r="AF149" i="5"/>
  <c r="AQ146" i="5"/>
  <c r="M12" i="18" s="1"/>
  <c r="AF146" i="5"/>
  <c r="AQ137" i="5"/>
  <c r="M11" i="18" s="1"/>
  <c r="AF137" i="5"/>
  <c r="L11" i="18" s="1"/>
  <c r="AQ133" i="5"/>
  <c r="M9" i="18" s="1"/>
  <c r="AF133" i="5"/>
  <c r="AQ136" i="5"/>
  <c r="M8" i="18" s="1"/>
  <c r="AF136" i="5"/>
  <c r="M6" i="18"/>
  <c r="AF132" i="5"/>
  <c r="AR136" i="5"/>
  <c r="AT136" i="5" s="1"/>
  <c r="C20" i="18"/>
  <c r="C7" i="18"/>
  <c r="C13" i="18"/>
  <c r="C12" i="18"/>
  <c r="C11" i="18"/>
  <c r="C9" i="18"/>
  <c r="C10" i="18"/>
  <c r="C15" i="18"/>
  <c r="C16" i="18"/>
  <c r="E145" i="5"/>
  <c r="G145" i="5" s="1"/>
  <c r="C8" i="18"/>
  <c r="C6" i="18"/>
  <c r="C21" i="18"/>
  <c r="C19" i="18"/>
  <c r="G135" i="5"/>
  <c r="G147" i="5"/>
  <c r="E143" i="5"/>
  <c r="G143" i="5" s="1"/>
  <c r="G134" i="5"/>
  <c r="E137" i="5"/>
  <c r="G133" i="5"/>
  <c r="G149" i="5"/>
  <c r="E144" i="5"/>
  <c r="G136" i="5"/>
  <c r="G139" i="5"/>
  <c r="F150" i="5"/>
  <c r="G140" i="5"/>
  <c r="G146" i="5"/>
  <c r="G141" i="5"/>
  <c r="G142" i="5"/>
  <c r="BE134" i="5" l="1"/>
  <c r="BG134" i="5"/>
  <c r="BF136" i="5"/>
  <c r="BG136" i="5" s="1"/>
  <c r="BH136" i="5" s="1"/>
  <c r="AC8" i="18" s="1"/>
  <c r="N6" i="18"/>
  <c r="N158" i="5"/>
  <c r="N157" i="5"/>
  <c r="N162" i="5"/>
  <c r="BC132" i="5"/>
  <c r="C221" i="11"/>
  <c r="BE146" i="5" s="1"/>
  <c r="AE137" i="5"/>
  <c r="AG137" i="5" s="1"/>
  <c r="AJ137" i="5" s="1"/>
  <c r="BA137" i="5"/>
  <c r="AR135" i="5"/>
  <c r="AU135" i="5" s="1"/>
  <c r="AV135" i="5" s="1"/>
  <c r="BG149" i="5"/>
  <c r="BE149" i="5"/>
  <c r="BF147" i="5"/>
  <c r="BG147" i="5" s="1"/>
  <c r="BE147" i="5"/>
  <c r="BF135" i="5"/>
  <c r="BG135" i="5" s="1"/>
  <c r="BE135" i="5"/>
  <c r="C22" i="18"/>
  <c r="AR149" i="5"/>
  <c r="AT149" i="5" s="1"/>
  <c r="AR147" i="5"/>
  <c r="AR146" i="5"/>
  <c r="AU146" i="5" s="1"/>
  <c r="M157" i="5"/>
  <c r="AR134" i="5"/>
  <c r="AT134" i="5" s="1"/>
  <c r="M159" i="5"/>
  <c r="L162" i="5"/>
  <c r="L6" i="18"/>
  <c r="AG133" i="5"/>
  <c r="AJ133" i="5" s="1"/>
  <c r="L9" i="18"/>
  <c r="L160" i="5"/>
  <c r="L12" i="18"/>
  <c r="AG135" i="5"/>
  <c r="AI135" i="5" s="1"/>
  <c r="AL135" i="5" s="1"/>
  <c r="L10" i="18"/>
  <c r="AR133" i="5"/>
  <c r="AU133" i="5" s="1"/>
  <c r="C216" i="11"/>
  <c r="C220" i="11" s="1"/>
  <c r="C224" i="11" s="1"/>
  <c r="AG136" i="5"/>
  <c r="AI136" i="5" s="1"/>
  <c r="L8" i="18"/>
  <c r="AG149" i="5"/>
  <c r="AI149" i="5" s="1"/>
  <c r="L15" i="18"/>
  <c r="AG147" i="5"/>
  <c r="AJ147" i="5" s="1"/>
  <c r="L13" i="18"/>
  <c r="AL148" i="5"/>
  <c r="L16" i="18"/>
  <c r="M158" i="5"/>
  <c r="M160" i="5"/>
  <c r="AW148" i="5"/>
  <c r="M16" i="18"/>
  <c r="M162" i="5"/>
  <c r="AG132" i="5"/>
  <c r="L158" i="5"/>
  <c r="L157" i="5"/>
  <c r="AG134" i="5"/>
  <c r="AI134" i="5" s="1"/>
  <c r="L159" i="5"/>
  <c r="C215" i="11"/>
  <c r="AG146" i="5"/>
  <c r="AJ146" i="5" s="1"/>
  <c r="AJ135" i="5"/>
  <c r="AU147" i="5"/>
  <c r="AV147" i="5" s="1"/>
  <c r="AT147" i="5"/>
  <c r="G137" i="5"/>
  <c r="AP137" i="5"/>
  <c r="R11" i="18" s="1"/>
  <c r="D20" i="18"/>
  <c r="D11" i="18"/>
  <c r="D21" i="18"/>
  <c r="G144" i="5"/>
  <c r="C124" i="11"/>
  <c r="C128" i="11"/>
  <c r="BH135" i="5" l="1"/>
  <c r="AC10" i="18" s="1"/>
  <c r="BH149" i="5"/>
  <c r="AT135" i="5"/>
  <c r="AI147" i="5"/>
  <c r="AL147" i="5" s="1"/>
  <c r="AN147" i="5" s="1"/>
  <c r="C225" i="11"/>
  <c r="BH147" i="5"/>
  <c r="AC13" i="18" s="1"/>
  <c r="Q11" i="18"/>
  <c r="AH137" i="5"/>
  <c r="V11" i="18" s="1"/>
  <c r="S160" i="5"/>
  <c r="I160" i="5" s="1"/>
  <c r="BH146" i="5"/>
  <c r="AC12" i="18" s="1"/>
  <c r="BH134" i="5"/>
  <c r="AC15" i="18"/>
  <c r="BI149" i="5"/>
  <c r="BD137" i="5"/>
  <c r="S11" i="18"/>
  <c r="BC137" i="5"/>
  <c r="BF137" i="5" s="1"/>
  <c r="AN135" i="5"/>
  <c r="AA10" i="18"/>
  <c r="AY148" i="5"/>
  <c r="AB16" i="18"/>
  <c r="AN148" i="5"/>
  <c r="AA16" i="18"/>
  <c r="C219" i="11"/>
  <c r="AI146" i="5" s="1"/>
  <c r="AT146" i="5"/>
  <c r="AW146" i="5" s="1"/>
  <c r="AB12" i="18" s="1"/>
  <c r="AW147" i="5"/>
  <c r="AS137" i="5"/>
  <c r="W11" i="18" s="1"/>
  <c r="AR137" i="5"/>
  <c r="AU137" i="5" s="1"/>
  <c r="AW135" i="5"/>
  <c r="E168" i="11"/>
  <c r="D168" i="11"/>
  <c r="E167" i="11"/>
  <c r="D167" i="11"/>
  <c r="E166" i="11"/>
  <c r="D166" i="11"/>
  <c r="E165" i="11"/>
  <c r="D165" i="11"/>
  <c r="E164" i="11"/>
  <c r="D164" i="11"/>
  <c r="D163" i="11"/>
  <c r="C149" i="11"/>
  <c r="C150" i="11" s="1"/>
  <c r="D148" i="11"/>
  <c r="C145" i="11"/>
  <c r="E145" i="11" s="1"/>
  <c r="D144" i="11"/>
  <c r="C139" i="11"/>
  <c r="D139" i="11" s="1"/>
  <c r="D138" i="11"/>
  <c r="AA13" i="18" l="1"/>
  <c r="BG137" i="5"/>
  <c r="AI137" i="5"/>
  <c r="AL137" i="5" s="1"/>
  <c r="AA11" i="18" s="1"/>
  <c r="AC7" i="18"/>
  <c r="BI134" i="5"/>
  <c r="X11" i="18"/>
  <c r="BE137" i="5"/>
  <c r="C223" i="11"/>
  <c r="AY135" i="5"/>
  <c r="AB10" i="18"/>
  <c r="AY147" i="5"/>
  <c r="AB13" i="18"/>
  <c r="AY146" i="5"/>
  <c r="AL146" i="5"/>
  <c r="Q160" i="5"/>
  <c r="G160" i="5" s="1"/>
  <c r="R160" i="5"/>
  <c r="H160" i="5" s="1"/>
  <c r="AT137" i="5"/>
  <c r="R159" i="5" s="1"/>
  <c r="H159" i="5" s="1"/>
  <c r="AV137" i="5"/>
  <c r="D135" i="11"/>
  <c r="E139" i="11"/>
  <c r="C136" i="11"/>
  <c r="E150" i="11"/>
  <c r="D150" i="11"/>
  <c r="C151" i="11"/>
  <c r="C146" i="11"/>
  <c r="D149" i="11"/>
  <c r="C140" i="11"/>
  <c r="D145" i="11"/>
  <c r="E149" i="11"/>
  <c r="Q159" i="5" l="1"/>
  <c r="G159" i="5" s="1"/>
  <c r="AN137" i="5"/>
  <c r="BH137" i="5"/>
  <c r="AC11" i="18" s="1"/>
  <c r="S159" i="5"/>
  <c r="I159" i="5" s="1"/>
  <c r="AN146" i="5"/>
  <c r="AA12" i="18"/>
  <c r="AW137" i="5"/>
  <c r="C152" i="11"/>
  <c r="E151" i="11"/>
  <c r="D151" i="11"/>
  <c r="D140" i="11"/>
  <c r="C141" i="11"/>
  <c r="E140" i="11"/>
  <c r="E146" i="11"/>
  <c r="D146" i="11"/>
  <c r="C147" i="11"/>
  <c r="C137" i="11"/>
  <c r="D136" i="11"/>
  <c r="E136" i="11"/>
  <c r="AY137" i="5" l="1"/>
  <c r="AB11" i="18"/>
  <c r="E138" i="11"/>
  <c r="E137" i="11"/>
  <c r="D137" i="11"/>
  <c r="D141" i="11"/>
  <c r="E141" i="11"/>
  <c r="C142" i="11"/>
  <c r="E152" i="11"/>
  <c r="D152" i="11"/>
  <c r="C153" i="11"/>
  <c r="E147" i="11"/>
  <c r="E148" i="11"/>
  <c r="D147" i="11"/>
  <c r="C154" i="11" l="1"/>
  <c r="E153" i="11"/>
  <c r="D153" i="11"/>
  <c r="D142" i="11"/>
  <c r="E142" i="11"/>
  <c r="C143" i="11"/>
  <c r="E144" i="11" l="1"/>
  <c r="D143" i="11"/>
  <c r="E143" i="11"/>
  <c r="E154" i="11"/>
  <c r="D154" i="11"/>
  <c r="C155" i="11"/>
  <c r="E155" i="11" l="1"/>
  <c r="D155" i="11"/>
  <c r="C156" i="11"/>
  <c r="C157" i="11" l="1"/>
  <c r="E156" i="11"/>
  <c r="D156" i="11"/>
  <c r="E157" i="11" l="1"/>
  <c r="D157" i="11"/>
  <c r="C158" i="11"/>
  <c r="C159" i="11" l="1"/>
  <c r="E158" i="11"/>
  <c r="D158" i="11"/>
  <c r="E159" i="11" l="1"/>
  <c r="D159" i="11"/>
  <c r="C160" i="11"/>
  <c r="C161" i="11" l="1"/>
  <c r="E160" i="11"/>
  <c r="D160" i="11"/>
  <c r="E161" i="11" l="1"/>
  <c r="D161" i="11"/>
  <c r="C162" i="11"/>
  <c r="E162" i="11" l="1"/>
  <c r="E163" i="11"/>
  <c r="D162" i="11"/>
  <c r="D237" i="11" l="1"/>
  <c r="F237" i="11"/>
  <c r="F232" i="11"/>
  <c r="D232" i="11"/>
  <c r="E238" i="11"/>
  <c r="C238" i="11"/>
  <c r="E233" i="11"/>
  <c r="C233" i="11"/>
  <c r="H237" i="11" l="1"/>
  <c r="H232" i="11"/>
  <c r="D240" i="11" l="1"/>
  <c r="D236" i="11" s="1"/>
  <c r="D231" i="11" l="1"/>
  <c r="F236" i="11"/>
  <c r="F231" i="11"/>
  <c r="G236" i="11" l="1"/>
  <c r="D243" i="11" s="1"/>
  <c r="H236" i="11"/>
  <c r="D247" i="11" s="1"/>
  <c r="G231" i="11"/>
  <c r="D241" i="11" s="1"/>
  <c r="H231" i="11"/>
  <c r="D245" i="11" s="1"/>
  <c r="D249" i="11" l="1"/>
  <c r="D248" i="11" s="1"/>
  <c r="D246" i="11"/>
  <c r="D244" i="11"/>
  <c r="E51" i="5"/>
  <c r="D242" i="11" l="1"/>
  <c r="M51" i="5"/>
  <c r="K51" i="5"/>
  <c r="O51" i="5"/>
  <c r="I51" i="5"/>
  <c r="F51" i="5"/>
  <c r="G51" i="5" s="1"/>
  <c r="F49" i="5"/>
  <c r="E52" i="5"/>
  <c r="E50" i="5"/>
  <c r="D52" i="5"/>
  <c r="D51" i="5"/>
  <c r="D50" i="5"/>
  <c r="D49" i="5"/>
  <c r="D48" i="5"/>
  <c r="C51" i="5"/>
  <c r="C50" i="5"/>
  <c r="C49" i="5"/>
  <c r="C48" i="5"/>
  <c r="M52" i="5" l="1"/>
  <c r="O52" i="5"/>
  <c r="K52" i="5"/>
  <c r="C98" i="11"/>
  <c r="G49" i="5"/>
  <c r="H146" i="5"/>
  <c r="H149" i="5"/>
  <c r="H148" i="5"/>
  <c r="H147" i="5"/>
  <c r="S133" i="5"/>
  <c r="T133" i="5" s="1"/>
  <c r="H133" i="5"/>
  <c r="S136" i="5"/>
  <c r="T136" i="5" s="1"/>
  <c r="S137" i="5"/>
  <c r="S134" i="5"/>
  <c r="S135" i="5"/>
  <c r="T135" i="5" s="1"/>
  <c r="H135" i="5"/>
  <c r="H136" i="5"/>
  <c r="H134" i="5"/>
  <c r="H137" i="5"/>
  <c r="S147" i="5"/>
  <c r="S148" i="5"/>
  <c r="S149" i="5"/>
  <c r="T149" i="5" s="1"/>
  <c r="D75" i="13"/>
  <c r="F12" i="18" l="1"/>
  <c r="T146" i="5"/>
  <c r="P12" i="18" s="1"/>
  <c r="U146" i="5"/>
  <c r="C214" i="11" s="1"/>
  <c r="E7" i="18"/>
  <c r="I134" i="5"/>
  <c r="O7" i="18" s="1"/>
  <c r="J134" i="5"/>
  <c r="J7" i="18" s="1"/>
  <c r="F7" i="18"/>
  <c r="T134" i="5"/>
  <c r="P7" i="18" s="1"/>
  <c r="U134" i="5"/>
  <c r="K7" i="18" s="1"/>
  <c r="E16" i="18"/>
  <c r="J148" i="5"/>
  <c r="J16" i="18" s="1"/>
  <c r="F16" i="18"/>
  <c r="U148" i="5"/>
  <c r="K16" i="18" s="1"/>
  <c r="E8" i="18"/>
  <c r="I136" i="5"/>
  <c r="O8" i="18" s="1"/>
  <c r="J136" i="5"/>
  <c r="J8" i="18" s="1"/>
  <c r="F11" i="18"/>
  <c r="U137" i="5"/>
  <c r="T137" i="5"/>
  <c r="P6" i="18"/>
  <c r="U132" i="5"/>
  <c r="E15" i="18"/>
  <c r="I149" i="5"/>
  <c r="O15" i="18" s="1"/>
  <c r="J149" i="5"/>
  <c r="J15" i="18" s="1"/>
  <c r="E11" i="18"/>
  <c r="J137" i="5"/>
  <c r="J11" i="18" s="1"/>
  <c r="I137" i="5"/>
  <c r="O11" i="18" s="1"/>
  <c r="F10" i="18"/>
  <c r="U135" i="5"/>
  <c r="K10" i="18" s="1"/>
  <c r="E9" i="18"/>
  <c r="I133" i="5"/>
  <c r="O9" i="18" s="1"/>
  <c r="J133" i="5"/>
  <c r="J9" i="18" s="1"/>
  <c r="E13" i="18"/>
  <c r="I147" i="5"/>
  <c r="O13" i="18" s="1"/>
  <c r="J147" i="5"/>
  <c r="J13" i="18" s="1"/>
  <c r="F15" i="18"/>
  <c r="U149" i="5"/>
  <c r="K15" i="18" s="1"/>
  <c r="E6" i="18"/>
  <c r="I132" i="5"/>
  <c r="J132" i="5"/>
  <c r="F13" i="18"/>
  <c r="T147" i="5"/>
  <c r="P13" i="18" s="1"/>
  <c r="U147" i="5"/>
  <c r="K13" i="18" s="1"/>
  <c r="E10" i="18"/>
  <c r="I135" i="5"/>
  <c r="O10" i="18" s="1"/>
  <c r="J135" i="5"/>
  <c r="J10" i="18" s="1"/>
  <c r="F8" i="18"/>
  <c r="P8" i="18"/>
  <c r="U136" i="5"/>
  <c r="K8" i="18" s="1"/>
  <c r="F9" i="18"/>
  <c r="P9" i="18"/>
  <c r="U133" i="5"/>
  <c r="E12" i="18"/>
  <c r="I146" i="5"/>
  <c r="O12" i="18" s="1"/>
  <c r="J146" i="5"/>
  <c r="J12" i="18" s="1"/>
  <c r="E61" i="13"/>
  <c r="E68" i="13"/>
  <c r="E60" i="13"/>
  <c r="E67" i="13"/>
  <c r="E59" i="13"/>
  <c r="E72" i="13"/>
  <c r="E58" i="13"/>
  <c r="E62" i="13"/>
  <c r="E64" i="13"/>
  <c r="E71" i="13"/>
  <c r="E63" i="13"/>
  <c r="E74" i="13"/>
  <c r="E70" i="13"/>
  <c r="E66" i="13"/>
  <c r="E73" i="13"/>
  <c r="E69" i="13"/>
  <c r="E65" i="13"/>
  <c r="O6" i="18" l="1"/>
  <c r="L132" i="5"/>
  <c r="J162" i="5"/>
  <c r="E162" i="5" s="1"/>
  <c r="K162" i="5"/>
  <c r="F162" i="5" s="1"/>
  <c r="C218" i="11"/>
  <c r="C222" i="11" s="1"/>
  <c r="P15" i="18"/>
  <c r="W149" i="5"/>
  <c r="E3" i="23"/>
  <c r="A10" i="23"/>
  <c r="E5" i="23"/>
  <c r="E2" i="23"/>
  <c r="P11" i="18"/>
  <c r="W137" i="5"/>
  <c r="U11" i="18" s="1"/>
  <c r="P10" i="18"/>
  <c r="W135" i="5"/>
  <c r="U10" i="18" s="1"/>
  <c r="K9" i="18"/>
  <c r="K11" i="18"/>
  <c r="K6" i="18"/>
  <c r="K12" i="18"/>
  <c r="J6" i="18"/>
  <c r="W136" i="5"/>
  <c r="U8" i="18" s="1"/>
  <c r="W147" i="5"/>
  <c r="U13" i="18" s="1"/>
  <c r="W134" i="5"/>
  <c r="T6" i="18"/>
  <c r="L134" i="5"/>
  <c r="T7" i="18" s="1"/>
  <c r="L133" i="5"/>
  <c r="T9" i="18" s="1"/>
  <c r="L137" i="5"/>
  <c r="T11" i="18" s="1"/>
  <c r="L136" i="5"/>
  <c r="T8" i="18" s="1"/>
  <c r="L146" i="5"/>
  <c r="T12" i="18" s="1"/>
  <c r="L135" i="5"/>
  <c r="T10" i="18" s="1"/>
  <c r="L149" i="5"/>
  <c r="T15" i="18" s="1"/>
  <c r="L147" i="5"/>
  <c r="T13" i="18" s="1"/>
  <c r="AA148" i="5"/>
  <c r="Z16" i="18" s="1"/>
  <c r="P148" i="5"/>
  <c r="Y16" i="18" s="1"/>
  <c r="K146" i="5"/>
  <c r="N146" i="5" s="1"/>
  <c r="J160" i="5"/>
  <c r="V134" i="5"/>
  <c r="K159" i="5"/>
  <c r="K137" i="5"/>
  <c r="N137" i="5" s="1"/>
  <c r="V132" i="5"/>
  <c r="K157" i="5"/>
  <c r="K158" i="5"/>
  <c r="K136" i="5"/>
  <c r="V136" i="5"/>
  <c r="V149" i="5"/>
  <c r="V133" i="5"/>
  <c r="Y133" i="5" s="1"/>
  <c r="K149" i="5"/>
  <c r="K147" i="5"/>
  <c r="N147" i="5" s="1"/>
  <c r="V146" i="5"/>
  <c r="Y146" i="5" s="1"/>
  <c r="K160" i="5"/>
  <c r="V147" i="5"/>
  <c r="Y147" i="5" s="1"/>
  <c r="V135" i="5"/>
  <c r="Y135" i="5" s="1"/>
  <c r="K135" i="5"/>
  <c r="N135" i="5" s="1"/>
  <c r="K132" i="5"/>
  <c r="J157" i="5"/>
  <c r="J158" i="5"/>
  <c r="J159" i="5"/>
  <c r="K134" i="5"/>
  <c r="K133" i="5"/>
  <c r="N133" i="5" s="1"/>
  <c r="V137" i="5"/>
  <c r="Y137" i="5" s="1"/>
  <c r="F89" i="22"/>
  <c r="E89" i="22"/>
  <c r="I17" i="22"/>
  <c r="H82" i="22"/>
  <c r="H83" i="22"/>
  <c r="H84" i="22"/>
  <c r="H85" i="22"/>
  <c r="H86" i="22"/>
  <c r="H87" i="22"/>
  <c r="H88" i="22"/>
  <c r="H81" i="22"/>
  <c r="G82" i="22"/>
  <c r="G83" i="22"/>
  <c r="G84" i="22"/>
  <c r="G85" i="22"/>
  <c r="G86" i="22"/>
  <c r="G87" i="22"/>
  <c r="G88" i="22"/>
  <c r="G81" i="22"/>
  <c r="C78" i="22"/>
  <c r="C77" i="22"/>
  <c r="C76" i="22"/>
  <c r="C75" i="22"/>
  <c r="C74" i="22"/>
  <c r="C73" i="22"/>
  <c r="C72" i="22"/>
  <c r="C71" i="22"/>
  <c r="C28" i="22"/>
  <c r="C25" i="22"/>
  <c r="C21" i="22"/>
  <c r="C22" i="22"/>
  <c r="C23" i="22"/>
  <c r="C24" i="22"/>
  <c r="C26" i="22"/>
  <c r="C27" i="22"/>
  <c r="M132" i="5" l="1"/>
  <c r="U15" i="18"/>
  <c r="U7" i="18"/>
  <c r="X149" i="5"/>
  <c r="X146" i="5"/>
  <c r="M146" i="5"/>
  <c r="O160" i="5" s="1"/>
  <c r="E160" i="5" s="1"/>
  <c r="X134" i="5"/>
  <c r="X136" i="5"/>
  <c r="M136" i="5"/>
  <c r="AC148" i="5"/>
  <c r="R148" i="5"/>
  <c r="M134" i="5"/>
  <c r="M149" i="5"/>
  <c r="M147" i="5"/>
  <c r="P147" i="5" s="1"/>
  <c r="Y13" i="18" s="1"/>
  <c r="M133" i="5"/>
  <c r="P133" i="5" s="1"/>
  <c r="Y9" i="18" s="1"/>
  <c r="M137" i="5"/>
  <c r="P137" i="5" s="1"/>
  <c r="Y11" i="18" s="1"/>
  <c r="X137" i="5"/>
  <c r="AA137" i="5" s="1"/>
  <c r="Z11" i="18" s="1"/>
  <c r="X135" i="5"/>
  <c r="AA135" i="5" s="1"/>
  <c r="Z10" i="18" s="1"/>
  <c r="M135" i="5"/>
  <c r="P135" i="5" s="1"/>
  <c r="Y10" i="18" s="1"/>
  <c r="X147" i="5"/>
  <c r="AA147" i="5" s="1"/>
  <c r="Z13" i="18" s="1"/>
  <c r="C79" i="22"/>
  <c r="I52" i="5"/>
  <c r="P146" i="5" l="1"/>
  <c r="Y12" i="18" s="1"/>
  <c r="P160" i="5"/>
  <c r="F160" i="5" s="1"/>
  <c r="AA146" i="5"/>
  <c r="Z12" i="18" s="1"/>
  <c r="AC135" i="5"/>
  <c r="R133" i="5"/>
  <c r="AC147" i="5"/>
  <c r="AC137" i="5"/>
  <c r="R147" i="5"/>
  <c r="R135" i="5"/>
  <c r="R137" i="5"/>
  <c r="P159" i="5"/>
  <c r="F159" i="5" s="1"/>
  <c r="O158" i="5"/>
  <c r="E158" i="5" s="1"/>
  <c r="O159" i="5"/>
  <c r="E159" i="5" s="1"/>
  <c r="F52" i="5"/>
  <c r="G52" i="5" s="1"/>
  <c r="J6" i="4"/>
  <c r="G6" i="4" s="1"/>
  <c r="J51" i="4"/>
  <c r="F51" i="4" s="1"/>
  <c r="J37" i="4"/>
  <c r="F37" i="4" s="1"/>
  <c r="J53" i="4"/>
  <c r="D53" i="4" s="1"/>
  <c r="J52" i="4"/>
  <c r="E52" i="4" s="1"/>
  <c r="J50" i="4"/>
  <c r="E50" i="4" s="1"/>
  <c r="J49" i="4"/>
  <c r="F49" i="4" s="1"/>
  <c r="J48" i="4"/>
  <c r="G48" i="4" s="1"/>
  <c r="J47" i="4"/>
  <c r="H47" i="4" s="1"/>
  <c r="J46" i="4"/>
  <c r="E46" i="4" s="1"/>
  <c r="J45" i="4"/>
  <c r="F45" i="4" s="1"/>
  <c r="J44" i="4"/>
  <c r="G44" i="4" s="1"/>
  <c r="J43" i="4"/>
  <c r="H43" i="4" s="1"/>
  <c r="J42" i="4"/>
  <c r="E42" i="4" s="1"/>
  <c r="J41" i="4"/>
  <c r="F41" i="4" s="1"/>
  <c r="J40" i="4"/>
  <c r="G40" i="4" s="1"/>
  <c r="J39" i="4"/>
  <c r="H39" i="4" s="1"/>
  <c r="J38" i="4"/>
  <c r="E38" i="4" s="1"/>
  <c r="J36" i="4"/>
  <c r="G36" i="4" s="1"/>
  <c r="J35" i="4"/>
  <c r="E35" i="4" s="1"/>
  <c r="J34" i="4"/>
  <c r="F34" i="4" s="1"/>
  <c r="J33" i="4"/>
  <c r="G33" i="4" s="1"/>
  <c r="J54" i="4"/>
  <c r="F54" i="4" s="1"/>
  <c r="J7" i="4"/>
  <c r="F7" i="4" s="1"/>
  <c r="J8" i="4"/>
  <c r="G8" i="4" s="1"/>
  <c r="J9" i="4"/>
  <c r="H9" i="4" s="1"/>
  <c r="J10" i="4"/>
  <c r="F10" i="4" s="1"/>
  <c r="J11" i="4"/>
  <c r="F11" i="4" s="1"/>
  <c r="J12" i="4"/>
  <c r="G12" i="4" s="1"/>
  <c r="J13" i="4"/>
  <c r="H13" i="4" s="1"/>
  <c r="J14" i="4"/>
  <c r="F14" i="4" s="1"/>
  <c r="J15" i="4"/>
  <c r="F15" i="4" s="1"/>
  <c r="J16" i="4"/>
  <c r="G16" i="4" s="1"/>
  <c r="J17" i="4"/>
  <c r="H17" i="4" s="1"/>
  <c r="J18" i="4"/>
  <c r="F18" i="4" s="1"/>
  <c r="J19" i="4"/>
  <c r="F19" i="4" s="1"/>
  <c r="J20" i="4"/>
  <c r="G20" i="4" s="1"/>
  <c r="J21" i="4"/>
  <c r="H21" i="4" s="1"/>
  <c r="J22" i="4"/>
  <c r="F22" i="4" s="1"/>
  <c r="J23" i="4"/>
  <c r="F23" i="4" s="1"/>
  <c r="J24" i="4"/>
  <c r="G24" i="4" s="1"/>
  <c r="J25" i="4"/>
  <c r="H25" i="4" s="1"/>
  <c r="J26" i="4"/>
  <c r="F26" i="4" s="1"/>
  <c r="J27" i="4"/>
  <c r="F27" i="4" s="1"/>
  <c r="R146" i="5" l="1"/>
  <c r="AC146" i="5"/>
  <c r="F5" i="23" s="1"/>
  <c r="H5" i="23" s="1"/>
  <c r="H6" i="4"/>
  <c r="D6" i="4"/>
  <c r="E51" i="4"/>
  <c r="E6" i="4"/>
  <c r="G37" i="4"/>
  <c r="F6" i="4"/>
  <c r="D26" i="4"/>
  <c r="D22" i="4"/>
  <c r="D18" i="4"/>
  <c r="D14" i="4"/>
  <c r="D10" i="4"/>
  <c r="E24" i="4"/>
  <c r="E20" i="4"/>
  <c r="E16" i="4"/>
  <c r="E12" i="4"/>
  <c r="E8" i="4"/>
  <c r="H26" i="4"/>
  <c r="G25" i="4"/>
  <c r="F24" i="4"/>
  <c r="H22" i="4"/>
  <c r="G21" i="4"/>
  <c r="F20" i="4"/>
  <c r="H18" i="4"/>
  <c r="G17" i="4"/>
  <c r="F16" i="4"/>
  <c r="H14" i="4"/>
  <c r="G13" i="4"/>
  <c r="F12" i="4"/>
  <c r="H10" i="4"/>
  <c r="G9" i="4"/>
  <c r="F8" i="4"/>
  <c r="D33" i="4"/>
  <c r="H33" i="4"/>
  <c r="H36" i="4"/>
  <c r="E40" i="4"/>
  <c r="H41" i="4"/>
  <c r="H44" i="4"/>
  <c r="E47" i="4"/>
  <c r="D49" i="4"/>
  <c r="G53" i="4"/>
  <c r="G54" i="4"/>
  <c r="D25" i="4"/>
  <c r="D21" i="4"/>
  <c r="D17" i="4"/>
  <c r="D13" i="4"/>
  <c r="D9" i="4"/>
  <c r="E27" i="4"/>
  <c r="E23" i="4"/>
  <c r="E19" i="4"/>
  <c r="E15" i="4"/>
  <c r="E11" i="4"/>
  <c r="E7" i="4"/>
  <c r="H27" i="4"/>
  <c r="G26" i="4"/>
  <c r="F25" i="4"/>
  <c r="H23" i="4"/>
  <c r="G22" i="4"/>
  <c r="F21" i="4"/>
  <c r="H19" i="4"/>
  <c r="G18" i="4"/>
  <c r="F17" i="4"/>
  <c r="H15" i="4"/>
  <c r="G14" i="4"/>
  <c r="F13" i="4"/>
  <c r="H11" i="4"/>
  <c r="G10" i="4"/>
  <c r="F9" i="4"/>
  <c r="H7" i="4"/>
  <c r="E33" i="4"/>
  <c r="F35" i="4"/>
  <c r="D37" i="4"/>
  <c r="H37" i="4"/>
  <c r="H40" i="4"/>
  <c r="E43" i="4"/>
  <c r="D45" i="4"/>
  <c r="D48" i="4"/>
  <c r="G49" i="4"/>
  <c r="G51" i="4"/>
  <c r="F53" i="4"/>
  <c r="D54" i="4"/>
  <c r="H54" i="4"/>
  <c r="D7" i="4"/>
  <c r="D24" i="4"/>
  <c r="D20" i="4"/>
  <c r="D16" i="4"/>
  <c r="D12" i="4"/>
  <c r="D8" i="4"/>
  <c r="E26" i="4"/>
  <c r="E22" i="4"/>
  <c r="E18" i="4"/>
  <c r="E14" i="4"/>
  <c r="E10" i="4"/>
  <c r="G27" i="4"/>
  <c r="H24" i="4"/>
  <c r="G23" i="4"/>
  <c r="H20" i="4"/>
  <c r="G19" i="4"/>
  <c r="H16" i="4"/>
  <c r="G15" i="4"/>
  <c r="H12" i="4"/>
  <c r="G11" i="4"/>
  <c r="H8" i="4"/>
  <c r="G7" i="4"/>
  <c r="F33" i="4"/>
  <c r="D36" i="4"/>
  <c r="E37" i="4"/>
  <c r="E39" i="4"/>
  <c r="D41" i="4"/>
  <c r="D44" i="4"/>
  <c r="G45" i="4"/>
  <c r="E48" i="4"/>
  <c r="H49" i="4"/>
  <c r="H51" i="4"/>
  <c r="D52" i="4"/>
  <c r="E54" i="4"/>
  <c r="D27" i="4"/>
  <c r="D23" i="4"/>
  <c r="D19" i="4"/>
  <c r="D15" i="4"/>
  <c r="D11" i="4"/>
  <c r="E25" i="4"/>
  <c r="E21" i="4"/>
  <c r="E17" i="4"/>
  <c r="E13" i="4"/>
  <c r="E9" i="4"/>
  <c r="E36" i="4"/>
  <c r="D40" i="4"/>
  <c r="G41" i="4"/>
  <c r="E44" i="4"/>
  <c r="H48" i="4"/>
  <c r="D51" i="4"/>
  <c r="F52" i="4"/>
  <c r="F38" i="4"/>
  <c r="F46" i="4"/>
  <c r="G38" i="4"/>
  <c r="F39" i="4"/>
  <c r="F47" i="4"/>
  <c r="G50" i="4"/>
  <c r="E34" i="4"/>
  <c r="D35" i="4"/>
  <c r="H35" i="4"/>
  <c r="F36" i="4"/>
  <c r="D38" i="4"/>
  <c r="H38" i="4"/>
  <c r="G39" i="4"/>
  <c r="F40" i="4"/>
  <c r="E41" i="4"/>
  <c r="D42" i="4"/>
  <c r="H42" i="4"/>
  <c r="G43" i="4"/>
  <c r="F44" i="4"/>
  <c r="E45" i="4"/>
  <c r="D46" i="4"/>
  <c r="H46" i="4"/>
  <c r="G47" i="4"/>
  <c r="F48" i="4"/>
  <c r="E49" i="4"/>
  <c r="D50" i="4"/>
  <c r="H50" i="4"/>
  <c r="H52" i="4"/>
  <c r="E53" i="4"/>
  <c r="G34" i="4"/>
  <c r="F42" i="4"/>
  <c r="F50" i="4"/>
  <c r="D34" i="4"/>
  <c r="H34" i="4"/>
  <c r="G35" i="4"/>
  <c r="G42" i="4"/>
  <c r="F43" i="4"/>
  <c r="G46" i="4"/>
  <c r="G52" i="4"/>
  <c r="D39" i="4"/>
  <c r="D43" i="4"/>
  <c r="D47" i="4"/>
  <c r="H53" i="4"/>
  <c r="D54" i="13"/>
  <c r="J5" i="23" l="1"/>
  <c r="E48" i="13"/>
  <c r="E49" i="13"/>
  <c r="E40" i="13"/>
  <c r="E44" i="13"/>
  <c r="E50" i="13"/>
  <c r="E53" i="13"/>
  <c r="E41" i="13"/>
  <c r="E45" i="13"/>
  <c r="E51" i="13"/>
  <c r="E38" i="13"/>
  <c r="E42" i="13"/>
  <c r="E46" i="13"/>
  <c r="E39" i="13"/>
  <c r="E43" i="13"/>
  <c r="E47" i="13"/>
  <c r="E52" i="13"/>
  <c r="E37" i="13"/>
  <c r="D33" i="13" l="1"/>
  <c r="E29" i="13" s="1"/>
  <c r="E21" i="13" l="1"/>
  <c r="E19" i="13"/>
  <c r="E20" i="13"/>
  <c r="E26" i="13"/>
  <c r="E31" i="13"/>
  <c r="E22" i="13"/>
  <c r="E30" i="13"/>
  <c r="E28" i="13"/>
  <c r="E24" i="13"/>
  <c r="E23" i="13"/>
  <c r="E32" i="13"/>
  <c r="C6" i="14" l="1"/>
  <c r="C5" i="14"/>
  <c r="C4" i="14"/>
  <c r="C3" i="14"/>
  <c r="C176" i="11" l="1"/>
  <c r="C175" i="11"/>
  <c r="E176" i="11"/>
  <c r="E175" i="11"/>
  <c r="D174" i="11"/>
  <c r="F174" i="11" s="1"/>
  <c r="F176" i="11" l="1"/>
  <c r="G176" i="11" s="1"/>
  <c r="F175" i="11"/>
  <c r="G175" i="11" s="1"/>
  <c r="F136" i="11" s="1"/>
  <c r="F137" i="11" l="1"/>
  <c r="F138" i="11" s="1"/>
  <c r="N132" i="5" s="1"/>
  <c r="N149" i="5" l="1"/>
  <c r="R149" i="5" s="1"/>
  <c r="N134" i="5"/>
  <c r="N136" i="5" s="1"/>
  <c r="F139" i="11"/>
  <c r="F140" i="11" s="1"/>
  <c r="F141" i="11" s="1"/>
  <c r="F142" i="11" s="1"/>
  <c r="F143" i="11" s="1"/>
  <c r="F144" i="11" s="1"/>
  <c r="F145" i="11" s="1"/>
  <c r="F146" i="11" s="1"/>
  <c r="F147" i="11" s="1"/>
  <c r="O132" i="5"/>
  <c r="O149" i="5" l="1"/>
  <c r="P149" i="5" s="1"/>
  <c r="Y15" i="18" s="1"/>
  <c r="O134" i="5"/>
  <c r="P134" i="5" s="1"/>
  <c r="Y7" i="18" s="1"/>
  <c r="R134" i="5"/>
  <c r="R132" i="5"/>
  <c r="O136" i="5"/>
  <c r="P132" i="5"/>
  <c r="Y6" i="18" s="1"/>
  <c r="F148" i="11"/>
  <c r="Q132" i="5" l="1"/>
  <c r="Y132" i="5"/>
  <c r="Y149" i="5"/>
  <c r="Y134" i="5"/>
  <c r="O150" i="5"/>
  <c r="O157" i="5" s="1"/>
  <c r="Q149" i="5"/>
  <c r="Q134" i="5"/>
  <c r="P136" i="5"/>
  <c r="Y8" i="18" s="1"/>
  <c r="BJ68" i="21"/>
  <c r="BF68" i="21"/>
  <c r="BF67" i="21"/>
  <c r="BK68" i="20"/>
  <c r="I69" i="20"/>
  <c r="I68" i="20"/>
  <c r="I67" i="20"/>
  <c r="BG68" i="20"/>
  <c r="BG67" i="20"/>
  <c r="BK68" i="19"/>
  <c r="BK67" i="19"/>
  <c r="I69" i="19"/>
  <c r="I68" i="19"/>
  <c r="I67" i="19"/>
  <c r="E157" i="5" l="1"/>
  <c r="Z149" i="5"/>
  <c r="AA149" i="5" s="1"/>
  <c r="Z15" i="18" s="1"/>
  <c r="AC149" i="5"/>
  <c r="Y136" i="5"/>
  <c r="Z136" i="5" s="1"/>
  <c r="AA136" i="5" s="1"/>
  <c r="Z8" i="18" s="1"/>
  <c r="Z134" i="5"/>
  <c r="AA134" i="5" s="1"/>
  <c r="Z7" i="18" s="1"/>
  <c r="R136" i="5"/>
  <c r="AC134" i="5"/>
  <c r="BL68" i="21"/>
  <c r="BG67" i="21"/>
  <c r="BH67" i="21"/>
  <c r="BH69" i="21"/>
  <c r="BK68" i="21"/>
  <c r="BH68" i="21"/>
  <c r="BK67" i="21"/>
  <c r="C18" i="11" s="1"/>
  <c r="C23" i="11" s="1"/>
  <c r="BG68" i="21"/>
  <c r="I70" i="20"/>
  <c r="BM67" i="20" s="1"/>
  <c r="BH67" i="20"/>
  <c r="BI67" i="20"/>
  <c r="BI68" i="20"/>
  <c r="BM68" i="20"/>
  <c r="BI69" i="20"/>
  <c r="BL68" i="20"/>
  <c r="C6" i="11" s="1"/>
  <c r="BL67" i="20"/>
  <c r="C17" i="11" s="1"/>
  <c r="C22" i="11" s="1"/>
  <c r="BH68" i="20"/>
  <c r="I70" i="19"/>
  <c r="BM69" i="19" s="1"/>
  <c r="BL68" i="19"/>
  <c r="BL67" i="19"/>
  <c r="BG68" i="19"/>
  <c r="BG67" i="19"/>
  <c r="AB134" i="5" l="1"/>
  <c r="BL69" i="21"/>
  <c r="AC136" i="5"/>
  <c r="AB149" i="5"/>
  <c r="BM69" i="20"/>
  <c r="BM68" i="19"/>
  <c r="BM67" i="19"/>
  <c r="BH68" i="19"/>
  <c r="BI69" i="19"/>
  <c r="BH67" i="19"/>
  <c r="BI67" i="19"/>
  <c r="BI68" i="19"/>
  <c r="M82" i="5" l="1"/>
  <c r="M81" i="5" l="1"/>
  <c r="I6" i="14" l="1"/>
  <c r="I5" i="14"/>
  <c r="I4" i="14"/>
  <c r="I3" i="14"/>
  <c r="G4" i="14"/>
  <c r="G3" i="14"/>
  <c r="C73" i="11"/>
  <c r="E265" i="11"/>
  <c r="G5" i="14"/>
  <c r="G6" i="14"/>
  <c r="E270" i="11"/>
  <c r="E264" i="11"/>
  <c r="E274" i="11"/>
  <c r="E257" i="11"/>
  <c r="E266" i="11"/>
  <c r="E261" i="11"/>
  <c r="E267" i="11"/>
  <c r="E262" i="11"/>
  <c r="E258" i="11"/>
  <c r="E272" i="11"/>
  <c r="E259" i="11"/>
  <c r="E255" i="11"/>
  <c r="E263" i="11"/>
  <c r="E256" i="11"/>
  <c r="E268" i="11"/>
  <c r="F50" i="5" s="1"/>
  <c r="G50" i="5" s="1"/>
  <c r="E271" i="11"/>
  <c r="E273" i="11"/>
  <c r="E269" i="11"/>
  <c r="E260" i="11"/>
  <c r="M80" i="5"/>
  <c r="M79" i="5"/>
  <c r="BD132" i="5" l="1"/>
  <c r="X6" i="18" s="1"/>
  <c r="C111" i="11"/>
  <c r="BD133" i="5" s="1"/>
  <c r="X9" i="18" s="1"/>
  <c r="C79" i="11"/>
  <c r="C80" i="11"/>
  <c r="C84" i="11" s="1"/>
  <c r="H50" i="5"/>
  <c r="I50" i="5" s="1"/>
  <c r="I53" i="5" s="1"/>
  <c r="C78" i="11"/>
  <c r="C82" i="11" s="1"/>
  <c r="H138" i="5"/>
  <c r="I138" i="5" s="1"/>
  <c r="H139" i="5"/>
  <c r="H145" i="5"/>
  <c r="H142" i="5"/>
  <c r="H143" i="5"/>
  <c r="H140" i="5"/>
  <c r="H144" i="5"/>
  <c r="H141" i="5"/>
  <c r="E33" i="13"/>
  <c r="G8" i="14"/>
  <c r="E54" i="13"/>
  <c r="C53" i="5"/>
  <c r="D53" i="5"/>
  <c r="C8" i="14"/>
  <c r="I8" i="14" s="1"/>
  <c r="E53" i="5"/>
  <c r="F34" i="5" l="1"/>
  <c r="G34" i="5"/>
  <c r="H34" i="5"/>
  <c r="BE132" i="5"/>
  <c r="BG132" i="5"/>
  <c r="BJ132" i="5"/>
  <c r="BG133" i="5"/>
  <c r="BE133" i="5"/>
  <c r="O50" i="5"/>
  <c r="O53" i="5" s="1"/>
  <c r="H32" i="5" s="1"/>
  <c r="AZ140" i="5"/>
  <c r="I19" i="18" s="1"/>
  <c r="AZ142" i="5"/>
  <c r="AZ138" i="5"/>
  <c r="BA138" i="5" s="1"/>
  <c r="AZ145" i="5"/>
  <c r="AZ141" i="5"/>
  <c r="AZ144" i="5"/>
  <c r="I21" i="18" s="1"/>
  <c r="AZ143" i="5"/>
  <c r="I20" i="18" s="1"/>
  <c r="AZ139" i="5"/>
  <c r="I18" i="18" s="1"/>
  <c r="AD140" i="5"/>
  <c r="G19" i="18" s="1"/>
  <c r="AD138" i="5"/>
  <c r="AE138" i="5" s="1"/>
  <c r="AD145" i="5"/>
  <c r="AD143" i="5"/>
  <c r="G20" i="18" s="1"/>
  <c r="AD144" i="5"/>
  <c r="G21" i="18" s="1"/>
  <c r="AD139" i="5"/>
  <c r="G18" i="18" s="1"/>
  <c r="AD142" i="5"/>
  <c r="AD141" i="5"/>
  <c r="K50" i="5"/>
  <c r="K53" i="5" s="1"/>
  <c r="E34" i="5"/>
  <c r="D34" i="5"/>
  <c r="C83" i="11"/>
  <c r="C87" i="11" s="1"/>
  <c r="S145" i="5"/>
  <c r="T145" i="5" s="1"/>
  <c r="W145" i="5" s="1"/>
  <c r="S140" i="5"/>
  <c r="U140" i="5" s="1"/>
  <c r="S142" i="5"/>
  <c r="U142" i="5" s="1"/>
  <c r="S139" i="5"/>
  <c r="T139" i="5" s="1"/>
  <c r="AO142" i="5"/>
  <c r="AO139" i="5"/>
  <c r="H18" i="18" s="1"/>
  <c r="AO144" i="5"/>
  <c r="H21" i="18" s="1"/>
  <c r="AO143" i="5"/>
  <c r="H20" i="18" s="1"/>
  <c r="M50" i="5"/>
  <c r="M53" i="5" s="1"/>
  <c r="AO138" i="5"/>
  <c r="AO145" i="5"/>
  <c r="AO141" i="5"/>
  <c r="AO140" i="5"/>
  <c r="H19" i="18" s="1"/>
  <c r="S143" i="5"/>
  <c r="U143" i="5" s="1"/>
  <c r="S144" i="5"/>
  <c r="U144" i="5" s="1"/>
  <c r="S138" i="5"/>
  <c r="T138" i="5" s="1"/>
  <c r="S141" i="5"/>
  <c r="T141" i="5" s="1"/>
  <c r="W141" i="5" s="1"/>
  <c r="H53" i="5"/>
  <c r="C86" i="11"/>
  <c r="C94" i="11" s="1"/>
  <c r="I141" i="5"/>
  <c r="L141" i="5" s="1"/>
  <c r="J141" i="5"/>
  <c r="E20" i="18"/>
  <c r="J143" i="5"/>
  <c r="J20" i="18" s="1"/>
  <c r="I143" i="5"/>
  <c r="I142" i="5"/>
  <c r="L142" i="5" s="1"/>
  <c r="J142" i="5"/>
  <c r="E18" i="18"/>
  <c r="I139" i="5"/>
  <c r="J139" i="5"/>
  <c r="E21" i="18"/>
  <c r="J144" i="5"/>
  <c r="I144" i="5"/>
  <c r="J145" i="5"/>
  <c r="I145" i="5"/>
  <c r="L145" i="5" s="1"/>
  <c r="E19" i="18"/>
  <c r="I140" i="5"/>
  <c r="J140" i="5"/>
  <c r="O17" i="18"/>
  <c r="L138" i="5"/>
  <c r="T17" i="18" s="1"/>
  <c r="D6" i="14"/>
  <c r="H6" i="14" s="1"/>
  <c r="J6" i="14" s="1"/>
  <c r="D5" i="14"/>
  <c r="M78" i="5"/>
  <c r="M73" i="5"/>
  <c r="E75" i="13"/>
  <c r="F32" i="5" l="1"/>
  <c r="F35" i="5" s="1"/>
  <c r="AH138" i="5"/>
  <c r="V17" i="18" s="1"/>
  <c r="Q17" i="18"/>
  <c r="BD138" i="5"/>
  <c r="X17" i="18" s="1"/>
  <c r="S17" i="18"/>
  <c r="N53" i="5"/>
  <c r="BH133" i="5"/>
  <c r="AC9" i="18" s="1"/>
  <c r="H35" i="5"/>
  <c r="S158" i="5"/>
  <c r="I158" i="5" s="1"/>
  <c r="BH132" i="5"/>
  <c r="AC6" i="18" s="1"/>
  <c r="BB143" i="5"/>
  <c r="N20" i="18" s="1"/>
  <c r="BA143" i="5"/>
  <c r="BA142" i="5"/>
  <c r="BD142" i="5" s="1"/>
  <c r="BB142" i="5"/>
  <c r="BB141" i="5"/>
  <c r="BA141" i="5"/>
  <c r="BD141" i="5" s="1"/>
  <c r="BA140" i="5"/>
  <c r="BB140" i="5"/>
  <c r="N19" i="18" s="1"/>
  <c r="BA144" i="5"/>
  <c r="BB144" i="5"/>
  <c r="BA139" i="5"/>
  <c r="BB139" i="5"/>
  <c r="BA145" i="5"/>
  <c r="BD145" i="5" s="1"/>
  <c r="BB145" i="5"/>
  <c r="J53" i="5"/>
  <c r="J77" i="5"/>
  <c r="J81" i="5"/>
  <c r="J85" i="5"/>
  <c r="J89" i="5"/>
  <c r="J93" i="5"/>
  <c r="J97" i="5"/>
  <c r="J101" i="5"/>
  <c r="J105" i="5"/>
  <c r="J109" i="5"/>
  <c r="J113" i="5"/>
  <c r="J117" i="5"/>
  <c r="J84" i="5"/>
  <c r="J108" i="5"/>
  <c r="J74" i="5"/>
  <c r="J78" i="5"/>
  <c r="J82" i="5"/>
  <c r="J86" i="5"/>
  <c r="J90" i="5"/>
  <c r="J94" i="5"/>
  <c r="J98" i="5"/>
  <c r="J102" i="5"/>
  <c r="J106" i="5"/>
  <c r="J110" i="5"/>
  <c r="J114" i="5"/>
  <c r="J118" i="5"/>
  <c r="J76" i="5"/>
  <c r="J88" i="5"/>
  <c r="J92" i="5"/>
  <c r="J96" i="5"/>
  <c r="J100" i="5"/>
  <c r="J104" i="5"/>
  <c r="J116" i="5"/>
  <c r="J75" i="5"/>
  <c r="J79" i="5"/>
  <c r="J83" i="5"/>
  <c r="J87" i="5"/>
  <c r="J91" i="5"/>
  <c r="J95" i="5"/>
  <c r="J99" i="5"/>
  <c r="J103" i="5"/>
  <c r="J107" i="5"/>
  <c r="J111" i="5"/>
  <c r="J115" i="5"/>
  <c r="J73" i="5"/>
  <c r="J80" i="5"/>
  <c r="J112" i="5"/>
  <c r="AF141" i="5"/>
  <c r="AE141" i="5"/>
  <c r="AH141" i="5" s="1"/>
  <c r="AE143" i="5"/>
  <c r="AF143" i="5"/>
  <c r="AE142" i="5"/>
  <c r="AH142" i="5" s="1"/>
  <c r="AF142" i="5"/>
  <c r="AF145" i="5"/>
  <c r="AE145" i="5"/>
  <c r="AH145" i="5" s="1"/>
  <c r="AE139" i="5"/>
  <c r="AF139" i="5"/>
  <c r="AE144" i="5"/>
  <c r="AF144" i="5"/>
  <c r="AE140" i="5"/>
  <c r="AF140" i="5"/>
  <c r="L19" i="18" s="1"/>
  <c r="W138" i="5"/>
  <c r="U17" i="18" s="1"/>
  <c r="F98" i="5"/>
  <c r="I114" i="5"/>
  <c r="I118" i="5"/>
  <c r="I115" i="5"/>
  <c r="I116" i="5"/>
  <c r="I117" i="5"/>
  <c r="H73" i="5"/>
  <c r="H117" i="5"/>
  <c r="H116" i="5"/>
  <c r="H114" i="5"/>
  <c r="H118" i="5"/>
  <c r="H115" i="5"/>
  <c r="K116" i="5"/>
  <c r="K117" i="5"/>
  <c r="K115" i="5"/>
  <c r="K114" i="5"/>
  <c r="K118" i="5"/>
  <c r="L53" i="5"/>
  <c r="G32" i="5"/>
  <c r="K73" i="5"/>
  <c r="K77" i="5"/>
  <c r="K81" i="5"/>
  <c r="K85" i="5"/>
  <c r="K89" i="5"/>
  <c r="K93" i="5"/>
  <c r="K97" i="5"/>
  <c r="K101" i="5"/>
  <c r="K105" i="5"/>
  <c r="K109" i="5"/>
  <c r="K113" i="5"/>
  <c r="K74" i="5"/>
  <c r="K78" i="5"/>
  <c r="K82" i="5"/>
  <c r="K86" i="5"/>
  <c r="K90" i="5"/>
  <c r="K94" i="5"/>
  <c r="K98" i="5"/>
  <c r="K102" i="5"/>
  <c r="K106" i="5"/>
  <c r="K110" i="5"/>
  <c r="K75" i="5"/>
  <c r="K79" i="5"/>
  <c r="K83" i="5"/>
  <c r="K87" i="5"/>
  <c r="K91" i="5"/>
  <c r="K95" i="5"/>
  <c r="K99" i="5"/>
  <c r="K103" i="5"/>
  <c r="K107" i="5"/>
  <c r="K111" i="5"/>
  <c r="K76" i="5"/>
  <c r="K80" i="5"/>
  <c r="K84" i="5"/>
  <c r="K88" i="5"/>
  <c r="K92" i="5"/>
  <c r="K96" i="5"/>
  <c r="K100" i="5"/>
  <c r="K104" i="5"/>
  <c r="K108" i="5"/>
  <c r="K112" i="5"/>
  <c r="C95" i="11"/>
  <c r="C103" i="11" s="1"/>
  <c r="C113" i="11" s="1"/>
  <c r="AH132" i="5" s="1"/>
  <c r="V6" i="18" s="1"/>
  <c r="C88" i="11"/>
  <c r="C96" i="11" s="1"/>
  <c r="C104" i="11" s="1"/>
  <c r="U145" i="5"/>
  <c r="E6" i="23" s="1"/>
  <c r="I99" i="5"/>
  <c r="I103" i="5"/>
  <c r="I107" i="5"/>
  <c r="I111" i="5"/>
  <c r="I100" i="5"/>
  <c r="I104" i="5"/>
  <c r="I108" i="5"/>
  <c r="I112" i="5"/>
  <c r="I101" i="5"/>
  <c r="I105" i="5"/>
  <c r="I109" i="5"/>
  <c r="I113" i="5"/>
  <c r="I102" i="5"/>
  <c r="I106" i="5"/>
  <c r="I110" i="5"/>
  <c r="H84" i="5"/>
  <c r="H100" i="5"/>
  <c r="H104" i="5"/>
  <c r="H108" i="5"/>
  <c r="H112" i="5"/>
  <c r="H101" i="5"/>
  <c r="H105" i="5"/>
  <c r="H109" i="5"/>
  <c r="H88" i="5"/>
  <c r="H102" i="5"/>
  <c r="H106" i="5"/>
  <c r="H110" i="5"/>
  <c r="H113" i="5"/>
  <c r="H99" i="5"/>
  <c r="H103" i="5"/>
  <c r="H107" i="5"/>
  <c r="H111" i="5"/>
  <c r="U139" i="5"/>
  <c r="V139" i="5" s="1"/>
  <c r="Y139" i="5" s="1"/>
  <c r="P17" i="18"/>
  <c r="F20" i="18"/>
  <c r="F18" i="18"/>
  <c r="T140" i="5"/>
  <c r="W140" i="5" s="1"/>
  <c r="F19" i="18"/>
  <c r="T143" i="5"/>
  <c r="W143" i="5" s="1"/>
  <c r="U20" i="18" s="1"/>
  <c r="T142" i="5"/>
  <c r="W142" i="5" s="1"/>
  <c r="T144" i="5"/>
  <c r="P21" i="18" s="1"/>
  <c r="F21" i="18"/>
  <c r="U141" i="5"/>
  <c r="AP141" i="5"/>
  <c r="AS141" i="5" s="1"/>
  <c r="AQ141" i="5"/>
  <c r="AQ143" i="5"/>
  <c r="AP143" i="5"/>
  <c r="AP145" i="5"/>
  <c r="AS145" i="5" s="1"/>
  <c r="AQ145" i="5"/>
  <c r="AQ144" i="5"/>
  <c r="AP144" i="5"/>
  <c r="AP140" i="5"/>
  <c r="AQ140" i="5"/>
  <c r="AP142" i="5"/>
  <c r="AS142" i="5" s="1"/>
  <c r="AQ142" i="5"/>
  <c r="AP138" i="5"/>
  <c r="AQ139" i="5"/>
  <c r="M18" i="18" s="1"/>
  <c r="AP139" i="5"/>
  <c r="C102" i="11"/>
  <c r="O20" i="18"/>
  <c r="L143" i="5"/>
  <c r="T20" i="18" s="1"/>
  <c r="K20" i="18"/>
  <c r="H95" i="5"/>
  <c r="O18" i="18"/>
  <c r="H96" i="5"/>
  <c r="H80" i="5"/>
  <c r="H85" i="5"/>
  <c r="H90" i="5"/>
  <c r="H81" i="5"/>
  <c r="H75" i="5"/>
  <c r="I75" i="5"/>
  <c r="I79" i="5"/>
  <c r="I83" i="5"/>
  <c r="I87" i="5"/>
  <c r="I91" i="5"/>
  <c r="I95" i="5"/>
  <c r="I73" i="5"/>
  <c r="I76" i="5"/>
  <c r="I80" i="5"/>
  <c r="I84" i="5"/>
  <c r="I88" i="5"/>
  <c r="I92" i="5"/>
  <c r="I96" i="5"/>
  <c r="I74" i="5"/>
  <c r="I86" i="5"/>
  <c r="I94" i="5"/>
  <c r="I77" i="5"/>
  <c r="I81" i="5"/>
  <c r="I85" i="5"/>
  <c r="I89" i="5"/>
  <c r="I93" i="5"/>
  <c r="I97" i="5"/>
  <c r="I78" i="5"/>
  <c r="I82" i="5"/>
  <c r="I90" i="5"/>
  <c r="I98" i="5"/>
  <c r="H91" i="5"/>
  <c r="H76" i="5"/>
  <c r="H86" i="5"/>
  <c r="H97" i="5"/>
  <c r="H82" i="5"/>
  <c r="H92" i="5"/>
  <c r="H77" i="5"/>
  <c r="H87" i="5"/>
  <c r="H98" i="5"/>
  <c r="H93" i="5"/>
  <c r="H78" i="5"/>
  <c r="F88" i="5"/>
  <c r="H83" i="5"/>
  <c r="H94" i="5"/>
  <c r="H79" i="5"/>
  <c r="H89" i="5"/>
  <c r="H74" i="5"/>
  <c r="J21" i="18"/>
  <c r="C127" i="5"/>
  <c r="M74" i="5" s="1"/>
  <c r="O19" i="18"/>
  <c r="P18" i="18"/>
  <c r="O21" i="18"/>
  <c r="K19" i="18"/>
  <c r="J18" i="18"/>
  <c r="J150" i="5"/>
  <c r="H150" i="5" s="1"/>
  <c r="J19" i="18"/>
  <c r="W139" i="5"/>
  <c r="U18" i="18" s="1"/>
  <c r="L140" i="5"/>
  <c r="T19" i="18" s="1"/>
  <c r="L144" i="5"/>
  <c r="T21" i="18" s="1"/>
  <c r="L139" i="5"/>
  <c r="T18" i="18" s="1"/>
  <c r="K156" i="5"/>
  <c r="K140" i="5"/>
  <c r="N140" i="5" s="1"/>
  <c r="K142" i="5"/>
  <c r="N142" i="5" s="1"/>
  <c r="K143" i="5"/>
  <c r="N143" i="5" s="1"/>
  <c r="J155" i="5"/>
  <c r="K139" i="5"/>
  <c r="N139" i="5" s="1"/>
  <c r="J154" i="5"/>
  <c r="K141" i="5"/>
  <c r="N141" i="5" s="1"/>
  <c r="K155" i="5"/>
  <c r="K144" i="5"/>
  <c r="N144" i="5" s="1"/>
  <c r="J156" i="5"/>
  <c r="K145" i="5"/>
  <c r="N145" i="5" s="1"/>
  <c r="D4" i="14"/>
  <c r="D3" i="14"/>
  <c r="E32" i="5"/>
  <c r="H9" i="14"/>
  <c r="G53" i="5"/>
  <c r="D32" i="5" s="1"/>
  <c r="D35" i="5" s="1"/>
  <c r="M75" i="5" l="1"/>
  <c r="G125" i="5"/>
  <c r="F109" i="5" s="1"/>
  <c r="F125" i="5"/>
  <c r="F99" i="5" s="1"/>
  <c r="N18" i="18"/>
  <c r="M19" i="18"/>
  <c r="L18" i="18"/>
  <c r="AS139" i="5"/>
  <c r="W18" i="18" s="1"/>
  <c r="R18" i="18"/>
  <c r="M156" i="5"/>
  <c r="M21" i="18"/>
  <c r="M155" i="5"/>
  <c r="M20" i="18"/>
  <c r="L156" i="5"/>
  <c r="L21" i="18"/>
  <c r="L155" i="5"/>
  <c r="L20" i="18"/>
  <c r="BD139" i="5"/>
  <c r="X18" i="18" s="1"/>
  <c r="S18" i="18"/>
  <c r="BD140" i="5"/>
  <c r="X19" i="18" s="1"/>
  <c r="S19" i="18"/>
  <c r="AH144" i="5"/>
  <c r="V21" i="18" s="1"/>
  <c r="Q21" i="18"/>
  <c r="AH143" i="5"/>
  <c r="V20" i="18" s="1"/>
  <c r="Q20" i="18"/>
  <c r="N156" i="5"/>
  <c r="N21" i="18"/>
  <c r="BD143" i="5"/>
  <c r="X20" i="18" s="1"/>
  <c r="S20" i="18"/>
  <c r="AS138" i="5"/>
  <c r="W17" i="18" s="1"/>
  <c r="R17" i="18"/>
  <c r="AS140" i="5"/>
  <c r="W19" i="18" s="1"/>
  <c r="R19" i="18"/>
  <c r="BD144" i="5"/>
  <c r="X21" i="18" s="1"/>
  <c r="S21" i="18"/>
  <c r="AS144" i="5"/>
  <c r="W21" i="18" s="1"/>
  <c r="R21" i="18"/>
  <c r="AS143" i="5"/>
  <c r="W20" i="18" s="1"/>
  <c r="R20" i="18"/>
  <c r="AH140" i="5"/>
  <c r="V19" i="18" s="1"/>
  <c r="Q19" i="18"/>
  <c r="AH139" i="5"/>
  <c r="V18" i="18" s="1"/>
  <c r="Q18" i="18"/>
  <c r="J22" i="18"/>
  <c r="N154" i="5"/>
  <c r="BB150" i="5"/>
  <c r="BC141" i="5"/>
  <c r="BE141" i="5" s="1"/>
  <c r="BC143" i="5"/>
  <c r="BF143" i="5" s="1"/>
  <c r="BG143" i="5" s="1"/>
  <c r="N155" i="5"/>
  <c r="BI132" i="5"/>
  <c r="BI150" i="5" s="1"/>
  <c r="BC139" i="5"/>
  <c r="BF139" i="5" s="1"/>
  <c r="BC140" i="5"/>
  <c r="BF140" i="5" s="1"/>
  <c r="BG140" i="5" s="1"/>
  <c r="BC142" i="5"/>
  <c r="BF142" i="5" s="1"/>
  <c r="BG142" i="5" s="1"/>
  <c r="BC145" i="5"/>
  <c r="BF145" i="5" s="1"/>
  <c r="BG145" i="5" s="1"/>
  <c r="BH145" i="5" s="1"/>
  <c r="BC144" i="5"/>
  <c r="BF144" i="5" s="1"/>
  <c r="L154" i="5"/>
  <c r="AI132" i="5"/>
  <c r="AG144" i="5"/>
  <c r="AJ144" i="5" s="1"/>
  <c r="AG143" i="5"/>
  <c r="AJ143" i="5" s="1"/>
  <c r="AG145" i="5"/>
  <c r="AJ145" i="5" s="1"/>
  <c r="AG140" i="5"/>
  <c r="AJ140" i="5" s="1"/>
  <c r="AG139" i="5"/>
  <c r="AJ139" i="5" s="1"/>
  <c r="AF150" i="5"/>
  <c r="AG142" i="5"/>
  <c r="AJ142" i="5" s="1"/>
  <c r="AG141" i="5"/>
  <c r="AJ141" i="5" s="1"/>
  <c r="C112" i="11"/>
  <c r="C108" i="11"/>
  <c r="W133" i="5" s="1"/>
  <c r="X133" i="5" s="1"/>
  <c r="V145" i="5"/>
  <c r="Y145" i="5" s="1"/>
  <c r="C109" i="11"/>
  <c r="AH133" i="5" s="1"/>
  <c r="C110" i="11"/>
  <c r="C114" i="11"/>
  <c r="AS132" i="5" s="1"/>
  <c r="K21" i="18"/>
  <c r="M154" i="5"/>
  <c r="C88" i="5"/>
  <c r="B18" i="35" s="1"/>
  <c r="G35" i="5"/>
  <c r="E4" i="23"/>
  <c r="E7" i="23" s="1"/>
  <c r="W144" i="5"/>
  <c r="U21" i="18" s="1"/>
  <c r="P19" i="18"/>
  <c r="V140" i="5"/>
  <c r="Y140" i="5" s="1"/>
  <c r="AQ150" i="5"/>
  <c r="P20" i="18"/>
  <c r="V143" i="5"/>
  <c r="Y143" i="5" s="1"/>
  <c r="U19" i="18"/>
  <c r="V144" i="5"/>
  <c r="Y144" i="5" s="1"/>
  <c r="V142" i="5"/>
  <c r="Y142" i="5" s="1"/>
  <c r="V141" i="5"/>
  <c r="Y141" i="5" s="1"/>
  <c r="U150" i="5"/>
  <c r="K18" i="18"/>
  <c r="K22" i="18" s="1"/>
  <c r="AR144" i="5"/>
  <c r="K154" i="5"/>
  <c r="AR140" i="5"/>
  <c r="AR145" i="5"/>
  <c r="AR141" i="5"/>
  <c r="AR139" i="5"/>
  <c r="AR142" i="5"/>
  <c r="AR143" i="5"/>
  <c r="Z132" i="5"/>
  <c r="E125" i="5"/>
  <c r="F89" i="5" s="1"/>
  <c r="D125" i="5"/>
  <c r="F86" i="5" s="1"/>
  <c r="E35" i="5"/>
  <c r="F53" i="5"/>
  <c r="X139" i="5"/>
  <c r="M142" i="5"/>
  <c r="P142" i="5" s="1"/>
  <c r="R142" i="5" s="1"/>
  <c r="M145" i="5"/>
  <c r="P145" i="5" s="1"/>
  <c r="R145" i="5" s="1"/>
  <c r="M141" i="5"/>
  <c r="P141" i="5" s="1"/>
  <c r="R141" i="5" s="1"/>
  <c r="M144" i="5"/>
  <c r="M140" i="5"/>
  <c r="P140" i="5" s="1"/>
  <c r="M139" i="5"/>
  <c r="M143" i="5"/>
  <c r="C19" i="14"/>
  <c r="C20" i="14"/>
  <c r="D7" i="14"/>
  <c r="F90" i="5" l="1"/>
  <c r="F110" i="5"/>
  <c r="F100" i="5"/>
  <c r="F87" i="5"/>
  <c r="M76" i="5"/>
  <c r="D122" i="5"/>
  <c r="N22" i="18"/>
  <c r="W6" i="18"/>
  <c r="AY132" i="5"/>
  <c r="AV132" i="5"/>
  <c r="M22" i="18"/>
  <c r="BG144" i="5"/>
  <c r="BG139" i="5"/>
  <c r="L22" i="18"/>
  <c r="AI133" i="5"/>
  <c r="AL133" i="5" s="1"/>
  <c r="V9" i="18"/>
  <c r="BE143" i="5"/>
  <c r="S155" i="5" s="1"/>
  <c r="I155" i="5" s="1"/>
  <c r="C118" i="5"/>
  <c r="B48" i="35" s="1"/>
  <c r="AZ150" i="5"/>
  <c r="BF141" i="5"/>
  <c r="BG141" i="5" s="1"/>
  <c r="BH141" i="5" s="1"/>
  <c r="BE140" i="5"/>
  <c r="BH140" i="5" s="1"/>
  <c r="BE144" i="5"/>
  <c r="BE142" i="5"/>
  <c r="BH142" i="5" s="1"/>
  <c r="BE139" i="5"/>
  <c r="AI140" i="5"/>
  <c r="AL140" i="5" s="1"/>
  <c r="AI143" i="5"/>
  <c r="Q155" i="5" s="1"/>
  <c r="G155" i="5" s="1"/>
  <c r="AO150" i="5"/>
  <c r="C113" i="5"/>
  <c r="B43" i="35" s="1"/>
  <c r="AI144" i="5"/>
  <c r="AI142" i="5"/>
  <c r="AL142" i="5" s="1"/>
  <c r="AN142" i="5" s="1"/>
  <c r="AI139" i="5"/>
  <c r="AD150" i="5"/>
  <c r="C108" i="5"/>
  <c r="B38" i="35" s="1"/>
  <c r="AI141" i="5"/>
  <c r="AL141" i="5" s="1"/>
  <c r="AN141" i="5" s="1"/>
  <c r="X132" i="5"/>
  <c r="AI145" i="5"/>
  <c r="AL145" i="5" s="1"/>
  <c r="AN145" i="5" s="1"/>
  <c r="C98" i="5"/>
  <c r="B28" i="35" s="1"/>
  <c r="S150" i="5"/>
  <c r="X145" i="5"/>
  <c r="AA145" i="5" s="1"/>
  <c r="AC145" i="5" s="1"/>
  <c r="AS133" i="5"/>
  <c r="X140" i="5"/>
  <c r="AA140" i="5" s="1"/>
  <c r="AC140" i="5" s="1"/>
  <c r="C86" i="5"/>
  <c r="AT142" i="5"/>
  <c r="AU142" i="5"/>
  <c r="AV142" i="5" s="1"/>
  <c r="AT140" i="5"/>
  <c r="AU140" i="5"/>
  <c r="AV140" i="5" s="1"/>
  <c r="AT143" i="5"/>
  <c r="R155" i="5" s="1"/>
  <c r="H155" i="5" s="1"/>
  <c r="AU143" i="5"/>
  <c r="AV143" i="5" s="1"/>
  <c r="AT139" i="5"/>
  <c r="AU139" i="5"/>
  <c r="AV139" i="5" s="1"/>
  <c r="AT145" i="5"/>
  <c r="AU145" i="5"/>
  <c r="AV145" i="5" s="1"/>
  <c r="AA139" i="5"/>
  <c r="AC139" i="5" s="1"/>
  <c r="AT141" i="5"/>
  <c r="AU141" i="5"/>
  <c r="AV141" i="5" s="1"/>
  <c r="AT144" i="5"/>
  <c r="R156" i="5" s="1"/>
  <c r="AU144" i="5"/>
  <c r="AV144" i="5" s="1"/>
  <c r="X143" i="5"/>
  <c r="AA143" i="5" s="1"/>
  <c r="Z20" i="18" s="1"/>
  <c r="A11" i="23"/>
  <c r="A13" i="23" s="1"/>
  <c r="A14" i="23" s="1"/>
  <c r="X142" i="5"/>
  <c r="AA142" i="5" s="1"/>
  <c r="AC142" i="5" s="1"/>
  <c r="X144" i="5"/>
  <c r="P156" i="5" s="1"/>
  <c r="X141" i="5"/>
  <c r="AA141" i="5" s="1"/>
  <c r="AC141" i="5" s="1"/>
  <c r="AC132" i="5"/>
  <c r="U9" i="18"/>
  <c r="U6" i="18"/>
  <c r="Y19" i="18"/>
  <c r="R140" i="5"/>
  <c r="O156" i="5"/>
  <c r="E156" i="5" s="1"/>
  <c r="P144" i="5"/>
  <c r="Y21" i="18" s="1"/>
  <c r="O155" i="5"/>
  <c r="E155" i="5" s="1"/>
  <c r="P143" i="5"/>
  <c r="Y20" i="18" s="1"/>
  <c r="O154" i="5"/>
  <c r="M150" i="5"/>
  <c r="P139" i="5"/>
  <c r="Y18" i="18" s="1"/>
  <c r="H7" i="14"/>
  <c r="D8" i="14"/>
  <c r="F101" i="5" l="1"/>
  <c r="F111" i="5"/>
  <c r="F91" i="5"/>
  <c r="C87" i="5"/>
  <c r="B17" i="35" s="1"/>
  <c r="E122" i="5"/>
  <c r="C89" i="5" s="1"/>
  <c r="B19" i="35" s="1"/>
  <c r="M77" i="5"/>
  <c r="Q158" i="5"/>
  <c r="G158" i="5" s="1"/>
  <c r="Y22" i="18"/>
  <c r="AC19" i="18"/>
  <c r="AT133" i="5"/>
  <c r="W9" i="18"/>
  <c r="AN140" i="5"/>
  <c r="AA19" i="18"/>
  <c r="AN133" i="5"/>
  <c r="AA9" i="18"/>
  <c r="BH143" i="5"/>
  <c r="AC20" i="18" s="1"/>
  <c r="AL143" i="5"/>
  <c r="BG150" i="5"/>
  <c r="S157" i="5" s="1"/>
  <c r="I157" i="5" s="1"/>
  <c r="BH144" i="5"/>
  <c r="AC21" i="18" s="1"/>
  <c r="S156" i="5"/>
  <c r="I156" i="5" s="1"/>
  <c r="H122" i="5"/>
  <c r="C114" i="5" s="1"/>
  <c r="B44" i="35" s="1"/>
  <c r="G122" i="5"/>
  <c r="C109" i="5" s="1"/>
  <c r="B39" i="35" s="1"/>
  <c r="S154" i="5"/>
  <c r="BE150" i="5"/>
  <c r="BH139" i="5"/>
  <c r="O161" i="5"/>
  <c r="O163" i="5" s="1"/>
  <c r="AA132" i="5"/>
  <c r="AB132" i="5" s="1"/>
  <c r="F156" i="5"/>
  <c r="H156" i="5"/>
  <c r="AL144" i="5"/>
  <c r="Q156" i="5"/>
  <c r="AI150" i="5"/>
  <c r="AL139" i="5"/>
  <c r="Q154" i="5"/>
  <c r="X150" i="5"/>
  <c r="AV133" i="5"/>
  <c r="AT132" i="5"/>
  <c r="AW132" i="5" s="1"/>
  <c r="AB6" i="18" s="1"/>
  <c r="P155" i="5"/>
  <c r="F155" i="5" s="1"/>
  <c r="AA144" i="5"/>
  <c r="AC144" i="5" s="1"/>
  <c r="R154" i="5"/>
  <c r="H154" i="5" s="1"/>
  <c r="AW139" i="5"/>
  <c r="AA133" i="5"/>
  <c r="AW144" i="5"/>
  <c r="AW145" i="5"/>
  <c r="AY145" i="5" s="1"/>
  <c r="AW143" i="5"/>
  <c r="AW140" i="5"/>
  <c r="P154" i="5"/>
  <c r="F154" i="5" s="1"/>
  <c r="Z18" i="18"/>
  <c r="Z150" i="5"/>
  <c r="P157" i="5" s="1"/>
  <c r="F157" i="5" s="1"/>
  <c r="AW141" i="5"/>
  <c r="AY141" i="5" s="1"/>
  <c r="AW142" i="5"/>
  <c r="AY142" i="5" s="1"/>
  <c r="Z19" i="18"/>
  <c r="P158" i="5"/>
  <c r="F158" i="5" s="1"/>
  <c r="F4" i="23"/>
  <c r="H4" i="23" s="1"/>
  <c r="J4" i="23" s="1"/>
  <c r="R144" i="5"/>
  <c r="AC143" i="5"/>
  <c r="R143" i="5"/>
  <c r="E154" i="5"/>
  <c r="R139" i="5"/>
  <c r="P150" i="5"/>
  <c r="E3" i="14"/>
  <c r="E8" i="14"/>
  <c r="E4" i="14"/>
  <c r="E5" i="14"/>
  <c r="E7" i="14"/>
  <c r="E6" i="14"/>
  <c r="F112" i="5" l="1"/>
  <c r="F92" i="5"/>
  <c r="F102" i="5"/>
  <c r="C90" i="5"/>
  <c r="B20" i="35" s="1"/>
  <c r="C110" i="5"/>
  <c r="B40" i="35" s="1"/>
  <c r="C115" i="5"/>
  <c r="B45" i="35" s="1"/>
  <c r="AW133" i="5"/>
  <c r="AB9" i="18" s="1"/>
  <c r="AB18" i="18"/>
  <c r="AY140" i="5"/>
  <c r="AB19" i="18"/>
  <c r="AY143" i="5"/>
  <c r="AB20" i="18"/>
  <c r="AN139" i="5"/>
  <c r="AA18" i="18"/>
  <c r="AY133" i="5"/>
  <c r="AN144" i="5"/>
  <c r="AA21" i="18"/>
  <c r="AY144" i="5"/>
  <c r="AB21" i="18"/>
  <c r="BH150" i="5"/>
  <c r="BJ150" i="5" s="1"/>
  <c r="E118" i="5" s="1"/>
  <c r="AC18" i="18"/>
  <c r="AC22" i="18" s="1"/>
  <c r="AN143" i="5"/>
  <c r="AA20" i="18"/>
  <c r="Z6" i="18"/>
  <c r="I154" i="5"/>
  <c r="S161" i="5"/>
  <c r="H36" i="5" s="1"/>
  <c r="H39" i="5" s="1"/>
  <c r="G118" i="5" s="1"/>
  <c r="AT150" i="5"/>
  <c r="G156" i="5"/>
  <c r="P161" i="5"/>
  <c r="G154" i="5"/>
  <c r="AC133" i="5"/>
  <c r="F3" i="23" s="1"/>
  <c r="H3" i="23" s="1"/>
  <c r="J3" i="23" s="1"/>
  <c r="F122" i="5"/>
  <c r="C99" i="5" s="1"/>
  <c r="B29" i="35" s="1"/>
  <c r="R158" i="5"/>
  <c r="H158" i="5" s="1"/>
  <c r="F5" i="14"/>
  <c r="H5" i="14" s="1"/>
  <c r="J5" i="14" s="1"/>
  <c r="F6" i="23"/>
  <c r="H6" i="23" s="1"/>
  <c r="J6" i="23" s="1"/>
  <c r="Z21" i="18"/>
  <c r="AB151" i="5"/>
  <c r="AB152" i="5" s="1"/>
  <c r="F2" i="23" s="1"/>
  <c r="Z9" i="18"/>
  <c r="AY139" i="5"/>
  <c r="D36" i="5"/>
  <c r="AA150" i="5"/>
  <c r="D98" i="5" s="1"/>
  <c r="C28" i="35" s="1"/>
  <c r="D88" i="5"/>
  <c r="C18" i="35" s="1"/>
  <c r="R150" i="5"/>
  <c r="E88" i="5" s="1"/>
  <c r="D124" i="5" s="1"/>
  <c r="E86" i="5" s="1"/>
  <c r="E87" i="5" s="1"/>
  <c r="F4" i="14"/>
  <c r="H4" i="14" s="1"/>
  <c r="J4" i="14" s="1"/>
  <c r="F3" i="14"/>
  <c r="L18" i="35" l="1"/>
  <c r="L28" i="35"/>
  <c r="F103" i="5"/>
  <c r="F93" i="5"/>
  <c r="C91" i="5"/>
  <c r="B21" i="35" s="1"/>
  <c r="C116" i="5"/>
  <c r="B46" i="35" s="1"/>
  <c r="C100" i="5"/>
  <c r="B30" i="35" s="1"/>
  <c r="D123" i="5"/>
  <c r="D86" i="5" s="1"/>
  <c r="C16" i="35" s="1"/>
  <c r="C111" i="5"/>
  <c r="B41" i="35" s="1"/>
  <c r="D118" i="5"/>
  <c r="C48" i="35" s="1"/>
  <c r="Z22" i="18"/>
  <c r="H38" i="5"/>
  <c r="H42" i="5" s="1"/>
  <c r="E36" i="5"/>
  <c r="E38" i="5" s="1"/>
  <c r="E42" i="5" s="1"/>
  <c r="P163" i="5"/>
  <c r="D39" i="5"/>
  <c r="D41" i="5" s="1"/>
  <c r="D38" i="5"/>
  <c r="D42" i="5" s="1"/>
  <c r="AC150" i="5"/>
  <c r="E98" i="5" s="1"/>
  <c r="F7" i="23"/>
  <c r="H7" i="23" s="1"/>
  <c r="H10" i="23" s="1"/>
  <c r="H2" i="23"/>
  <c r="J2" i="23" s="1"/>
  <c r="E123" i="5"/>
  <c r="D89" i="5" s="1"/>
  <c r="C19" i="35" s="1"/>
  <c r="H3" i="14"/>
  <c r="F8" i="14"/>
  <c r="L19" i="35" l="1"/>
  <c r="L16" i="35"/>
  <c r="C92" i="5"/>
  <c r="B22" i="35" s="1"/>
  <c r="F94" i="5"/>
  <c r="F104" i="5"/>
  <c r="C101" i="5"/>
  <c r="B31" i="35" s="1"/>
  <c r="D90" i="5"/>
  <c r="C20" i="35" s="1"/>
  <c r="D87" i="5"/>
  <c r="C17" i="35" s="1"/>
  <c r="C112" i="5"/>
  <c r="B42" i="35" s="1"/>
  <c r="C117" i="5"/>
  <c r="B47" i="35" s="1"/>
  <c r="H41" i="5"/>
  <c r="H40" i="5"/>
  <c r="E124" i="5"/>
  <c r="E89" i="5" s="1"/>
  <c r="E90" i="5" s="1"/>
  <c r="E91" i="5" s="1"/>
  <c r="E92" i="5" s="1"/>
  <c r="E93" i="5" s="1"/>
  <c r="E94" i="5" s="1"/>
  <c r="E95" i="5" s="1"/>
  <c r="E96" i="5" s="1"/>
  <c r="E97" i="5" s="1"/>
  <c r="D40" i="5"/>
  <c r="J7" i="23"/>
  <c r="I5" i="23"/>
  <c r="I6" i="23"/>
  <c r="E39" i="5"/>
  <c r="G98" i="5" s="1"/>
  <c r="I2" i="23"/>
  <c r="I7" i="23"/>
  <c r="I3" i="23"/>
  <c r="I4" i="23"/>
  <c r="G88" i="5"/>
  <c r="D126" i="5" s="1"/>
  <c r="J3" i="14"/>
  <c r="J8" i="14" s="1"/>
  <c r="H8" i="14"/>
  <c r="H10" i="14" s="1"/>
  <c r="L48" i="35" l="1"/>
  <c r="L20" i="35"/>
  <c r="L17" i="35"/>
  <c r="C93" i="5"/>
  <c r="B23" i="35" s="1"/>
  <c r="F95" i="5"/>
  <c r="F105" i="5"/>
  <c r="D91" i="5"/>
  <c r="C21" i="35" s="1"/>
  <c r="C102" i="5"/>
  <c r="B32" i="35" s="1"/>
  <c r="E40" i="5"/>
  <c r="E41" i="5"/>
  <c r="G86" i="5"/>
  <c r="G87" i="5" s="1"/>
  <c r="E126" i="5"/>
  <c r="G89" i="5" s="1"/>
  <c r="G90" i="5" s="1"/>
  <c r="G91" i="5" s="1"/>
  <c r="G92" i="5" s="1"/>
  <c r="G93" i="5" s="1"/>
  <c r="G94" i="5" s="1"/>
  <c r="G95" i="5" s="1"/>
  <c r="G96" i="5" s="1"/>
  <c r="G97" i="5" s="1"/>
  <c r="L21" i="35" l="1"/>
  <c r="F106" i="5"/>
  <c r="C94" i="5"/>
  <c r="B24" i="35" s="1"/>
  <c r="F96" i="5"/>
  <c r="D92" i="5"/>
  <c r="C22" i="35" s="1"/>
  <c r="C103" i="5"/>
  <c r="B33" i="35" s="1"/>
  <c r="BJ135" i="5"/>
  <c r="BJ148" i="5"/>
  <c r="BJ144" i="5"/>
  <c r="BJ137" i="5"/>
  <c r="BJ147" i="5"/>
  <c r="BJ143" i="5"/>
  <c r="BJ140" i="5"/>
  <c r="BJ136" i="5"/>
  <c r="BJ146" i="5"/>
  <c r="BJ142" i="5"/>
  <c r="BJ139" i="5"/>
  <c r="BJ145" i="5"/>
  <c r="BJ141" i="5"/>
  <c r="BJ133" i="5"/>
  <c r="L22" i="35" l="1"/>
  <c r="F97" i="5"/>
  <c r="C95" i="5"/>
  <c r="B25" i="35" s="1"/>
  <c r="F107" i="5"/>
  <c r="C104" i="5"/>
  <c r="B34" i="35" s="1"/>
  <c r="D93" i="5"/>
  <c r="C23" i="35" s="1"/>
  <c r="AU149" i="5"/>
  <c r="AV149" i="5" s="1"/>
  <c r="AW149" i="5" s="1"/>
  <c r="AB15" i="18" s="1"/>
  <c r="F149" i="11"/>
  <c r="F150" i="11" s="1"/>
  <c r="F151" i="11" s="1"/>
  <c r="F152" i="11" s="1"/>
  <c r="F153" i="11" s="1"/>
  <c r="F154" i="11" s="1"/>
  <c r="F155" i="11" s="1"/>
  <c r="F156" i="11" s="1"/>
  <c r="F157" i="11" s="1"/>
  <c r="F158" i="11" s="1"/>
  <c r="AU134" i="5"/>
  <c r="AY134" i="5" s="1"/>
  <c r="L23" i="35" l="1"/>
  <c r="AY149" i="5"/>
  <c r="C96" i="5"/>
  <c r="B26" i="35" s="1"/>
  <c r="C105" i="5"/>
  <c r="B35" i="35" s="1"/>
  <c r="D94" i="5"/>
  <c r="C24" i="35" s="1"/>
  <c r="AJ132" i="5"/>
  <c r="F159" i="11"/>
  <c r="F160" i="11" s="1"/>
  <c r="F161" i="11" s="1"/>
  <c r="F162" i="11" s="1"/>
  <c r="AJ134" i="5"/>
  <c r="AJ149" i="5"/>
  <c r="AX149" i="5"/>
  <c r="AU136" i="5"/>
  <c r="AV136" i="5" s="1"/>
  <c r="AW136" i="5" s="1"/>
  <c r="AV134" i="5"/>
  <c r="AW134" i="5" s="1"/>
  <c r="AB7" i="18" s="1"/>
  <c r="L24" i="35" l="1"/>
  <c r="C97" i="5"/>
  <c r="B27" i="35" s="1"/>
  <c r="D95" i="5"/>
  <c r="C25" i="35" s="1"/>
  <c r="C106" i="5"/>
  <c r="B36" i="35" s="1"/>
  <c r="AY136" i="5"/>
  <c r="AB8" i="18"/>
  <c r="AN149" i="5"/>
  <c r="AK149" i="5"/>
  <c r="AL149" i="5" s="1"/>
  <c r="AA15" i="18" s="1"/>
  <c r="AX134" i="5"/>
  <c r="AK134" i="5"/>
  <c r="AL134" i="5" s="1"/>
  <c r="AA7" i="18" s="1"/>
  <c r="AJ136" i="5"/>
  <c r="AK136" i="5" s="1"/>
  <c r="AL136" i="5" s="1"/>
  <c r="AN134" i="5"/>
  <c r="AV150" i="5"/>
  <c r="R157" i="5" s="1"/>
  <c r="AK132" i="5"/>
  <c r="AN132" i="5"/>
  <c r="L25" i="35" l="1"/>
  <c r="C107" i="5"/>
  <c r="B37" i="35" s="1"/>
  <c r="D96" i="5"/>
  <c r="C26" i="35" s="1"/>
  <c r="AM134" i="5"/>
  <c r="AA8" i="18"/>
  <c r="AN136" i="5"/>
  <c r="AM149" i="5"/>
  <c r="AL132" i="5"/>
  <c r="AK150" i="5"/>
  <c r="Q157" i="5" s="1"/>
  <c r="AW150" i="5"/>
  <c r="AB22" i="18"/>
  <c r="AX132" i="5"/>
  <c r="AX150" i="5" s="1"/>
  <c r="R161" i="5"/>
  <c r="H157" i="5"/>
  <c r="L26" i="35" l="1"/>
  <c r="D97" i="5"/>
  <c r="C27" i="35" s="1"/>
  <c r="D113" i="5"/>
  <c r="C43" i="35" s="1"/>
  <c r="AY150" i="5"/>
  <c r="E113" i="5" s="1"/>
  <c r="G157" i="5"/>
  <c r="Q161" i="5"/>
  <c r="G36" i="5"/>
  <c r="S162" i="5"/>
  <c r="R162" i="5"/>
  <c r="H162" i="5" s="1"/>
  <c r="AL150" i="5"/>
  <c r="AA6" i="18"/>
  <c r="AA22" i="18" s="1"/>
  <c r="AM132" i="5"/>
  <c r="AM150" i="5" s="1"/>
  <c r="Q162" i="5" s="1"/>
  <c r="G162" i="5" s="1"/>
  <c r="L43" i="35" l="1"/>
  <c r="L27" i="35"/>
  <c r="I162" i="5"/>
  <c r="S163" i="5"/>
  <c r="R163" i="5"/>
  <c r="H124" i="5"/>
  <c r="E114" i="5" s="1"/>
  <c r="E115" i="5" s="1"/>
  <c r="E116" i="5" s="1"/>
  <c r="E117" i="5" s="1"/>
  <c r="Q163" i="5"/>
  <c r="F36" i="5"/>
  <c r="F38" i="5" s="1"/>
  <c r="D108" i="5"/>
  <c r="C38" i="35" s="1"/>
  <c r="AN150" i="5"/>
  <c r="E108" i="5" s="1"/>
  <c r="G124" i="5" s="1"/>
  <c r="G38" i="5"/>
  <c r="G42" i="5" s="1"/>
  <c r="G39" i="5"/>
  <c r="G123" i="5"/>
  <c r="D99" i="5" s="1"/>
  <c r="C29" i="35" s="1"/>
  <c r="H123" i="5"/>
  <c r="D114" i="5" s="1"/>
  <c r="C44" i="35" s="1"/>
  <c r="L44" i="35" l="1"/>
  <c r="L29" i="35"/>
  <c r="L38" i="35"/>
  <c r="D115" i="5"/>
  <c r="C45" i="35" s="1"/>
  <c r="D100" i="5"/>
  <c r="C30" i="35" s="1"/>
  <c r="G113" i="5"/>
  <c r="G41" i="5"/>
  <c r="G40" i="5"/>
  <c r="F39" i="5"/>
  <c r="F42" i="5"/>
  <c r="F124" i="5"/>
  <c r="E99" i="5" s="1"/>
  <c r="E100" i="5" s="1"/>
  <c r="E101" i="5" s="1"/>
  <c r="E102" i="5" s="1"/>
  <c r="E103" i="5" s="1"/>
  <c r="E104" i="5" s="1"/>
  <c r="E105" i="5" s="1"/>
  <c r="E106" i="5" s="1"/>
  <c r="E107" i="5" s="1"/>
  <c r="E109" i="5"/>
  <c r="E110" i="5" s="1"/>
  <c r="E111" i="5" s="1"/>
  <c r="E112" i="5" s="1"/>
  <c r="D109" i="5"/>
  <c r="C39" i="35" s="1"/>
  <c r="F123" i="5"/>
  <c r="L45" i="35" l="1"/>
  <c r="L39" i="35"/>
  <c r="L30" i="35"/>
  <c r="D101" i="5"/>
  <c r="C31" i="35" s="1"/>
  <c r="D110" i="5"/>
  <c r="C40" i="35" s="1"/>
  <c r="D116" i="5"/>
  <c r="C46" i="35" s="1"/>
  <c r="G126" i="5"/>
  <c r="G99" i="5" s="1"/>
  <c r="G100" i="5" s="1"/>
  <c r="G101" i="5" s="1"/>
  <c r="G102" i="5" s="1"/>
  <c r="G103" i="5" s="1"/>
  <c r="G104" i="5" s="1"/>
  <c r="G105" i="5" s="1"/>
  <c r="G106" i="5" s="1"/>
  <c r="G107" i="5" s="1"/>
  <c r="F40" i="5"/>
  <c r="F41" i="5"/>
  <c r="L40" i="35" l="1"/>
  <c r="L46" i="35"/>
  <c r="L31" i="35"/>
  <c r="D102" i="5"/>
  <c r="C32" i="35" s="1"/>
  <c r="D117" i="5"/>
  <c r="C47" i="35" s="1"/>
  <c r="D111" i="5"/>
  <c r="C41" i="35" s="1"/>
  <c r="G109" i="5"/>
  <c r="F126" i="5"/>
  <c r="L41" i="35" l="1"/>
  <c r="L47" i="35"/>
  <c r="L32" i="35"/>
  <c r="D112" i="5"/>
  <c r="C42" i="35" s="1"/>
  <c r="D103" i="5"/>
  <c r="C33" i="35" s="1"/>
  <c r="G110" i="5"/>
  <c r="G111" i="5" s="1"/>
  <c r="G112" i="5" s="1"/>
  <c r="H126" i="5"/>
  <c r="G114" i="5" s="1"/>
  <c r="G115" i="5" s="1"/>
  <c r="G116" i="5" s="1"/>
  <c r="G117" i="5" s="1"/>
  <c r="L33" i="35" l="1"/>
  <c r="L42" i="35"/>
  <c r="D104" i="5"/>
  <c r="C34" i="35" s="1"/>
  <c r="L34" i="35" l="1"/>
  <c r="D105" i="5"/>
  <c r="C35" i="35" s="1"/>
  <c r="L35" i="35" l="1"/>
  <c r="D106" i="5"/>
  <c r="C36" i="35" s="1"/>
  <c r="L36" i="35" l="1"/>
  <c r="D107" i="5"/>
  <c r="C37" i="35" s="1"/>
  <c r="L37"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Butterworth, Ben</author>
  </authors>
  <commentList>
    <comment ref="J8" authorId="0" shapeId="0" xr:uid="{00000000-0006-0000-0600-000001000000}">
      <text>
        <r>
          <rPr>
            <b/>
            <sz val="9"/>
            <color indexed="81"/>
            <rFont val="Tahoma"/>
            <family val="2"/>
          </rPr>
          <t>Butterworth, Ben:</t>
        </r>
        <r>
          <rPr>
            <sz val="9"/>
            <color indexed="81"/>
            <rFont val="Tahoma"/>
            <family val="2"/>
          </rPr>
          <t xml:space="preserve">
Doesn't sum to 16,597 because no water emissions recorded in 2005</t>
        </r>
      </text>
    </comment>
  </commentList>
</comments>
</file>

<file path=xl/sharedStrings.xml><?xml version="1.0" encoding="utf-8"?>
<sst xmlns="http://schemas.openxmlformats.org/spreadsheetml/2006/main" count="3560" uniqueCount="728">
  <si>
    <t>SAN MATEO COUNTY</t>
  </si>
  <si>
    <t>Sector</t>
  </si>
  <si>
    <t>Residential</t>
  </si>
  <si>
    <t>Commercial/Industrial</t>
  </si>
  <si>
    <t>Transportation</t>
  </si>
  <si>
    <t>Generated Waste</t>
  </si>
  <si>
    <t>TOTAL</t>
  </si>
  <si>
    <t>Year</t>
  </si>
  <si>
    <t>Source</t>
  </si>
  <si>
    <t>State Initiative</t>
  </si>
  <si>
    <t>Electricity</t>
  </si>
  <si>
    <t>Natural Gas</t>
  </si>
  <si>
    <t xml:space="preserve">Direct Access </t>
  </si>
  <si>
    <t>Off-Road Equipment (Residential)</t>
  </si>
  <si>
    <t>Plant Debris</t>
  </si>
  <si>
    <t>Waste – Landfill Cover</t>
  </si>
  <si>
    <t>Data:</t>
  </si>
  <si>
    <t>Commercial/Industrial (Jobs)</t>
  </si>
  <si>
    <t>Transportation*</t>
  </si>
  <si>
    <t>Stationary Sources</t>
  </si>
  <si>
    <t>Various Fuels</t>
  </si>
  <si>
    <t>Freight Trains</t>
  </si>
  <si>
    <t>Wastewater Treatment</t>
  </si>
  <si>
    <t>Water</t>
  </si>
  <si>
    <t>CalTrain</t>
  </si>
  <si>
    <t>Wastewater</t>
  </si>
  <si>
    <t>Generated Waste &amp; Wastewater</t>
  </si>
  <si>
    <t>N/A</t>
  </si>
  <si>
    <t>CAP Target Year</t>
  </si>
  <si>
    <t>Years of policy in place by CAP Target Year</t>
  </si>
  <si>
    <t>Waste – Landfills</t>
  </si>
  <si>
    <t>Wastewater treatment</t>
  </si>
  <si>
    <t xml:space="preserve">Off-Road Equipment </t>
  </si>
  <si>
    <t>All Waste Types</t>
  </si>
  <si>
    <t>Methane from landfills</t>
  </si>
  <si>
    <t>Embedded Electricity in Water</t>
  </si>
  <si>
    <t>Jurisdiction</t>
  </si>
  <si>
    <t>Percent of Existing Commercial Buildings Achieving ZNE by 2030</t>
  </si>
  <si>
    <t>Percent of Residential Building Stock Replaced between 2020 and  2030</t>
  </si>
  <si>
    <t>2030 BAU</t>
  </si>
  <si>
    <t>Percent of Total GHG Emissions</t>
  </si>
  <si>
    <t>Current Data Source</t>
  </si>
  <si>
    <t>2011 GHG Inventory Total Emissions (MT CO2e)</t>
  </si>
  <si>
    <t>2012 GHG Inventory Total Emissions (MT CO2e)</t>
  </si>
  <si>
    <t>Historical Emissions</t>
  </si>
  <si>
    <t>BAU Projections</t>
  </si>
  <si>
    <t>BAU Projections w/ State Measures</t>
  </si>
  <si>
    <t>Meets or Exceeds State Goal?</t>
  </si>
  <si>
    <t>2030 Residential Energy BAU Projected Emissions</t>
  </si>
  <si>
    <t>Year Target for 100% Net Zero Energy residential new construction</t>
  </si>
  <si>
    <t>% Reduction from 2030 BAU Emissions in Sector</t>
  </si>
  <si>
    <t>On-Road Transportation</t>
  </si>
  <si>
    <t>Residential Energy</t>
  </si>
  <si>
    <t>All Electricity</t>
  </si>
  <si>
    <t>Source of all data above: Plan Bay Area 2013 Projections</t>
  </si>
  <si>
    <t>Plan Bay Area Household Projections By Jurisdiction: 2010-2040</t>
  </si>
  <si>
    <t>Plan Bay Area Job Projections By Jurisdiction: 2010-2040</t>
  </si>
  <si>
    <t xml:space="preserve">2020 Total Households in San Mateo County </t>
  </si>
  <si>
    <t xml:space="preserve">2030 Total Households in San Mateo County </t>
  </si>
  <si>
    <t>2020-2030 Total Additional Households in San Mateo County</t>
  </si>
  <si>
    <t>2020-2030 Total Additional Households in San Mateo County Per Year</t>
  </si>
  <si>
    <t>2020-2030 Percent of Residential Housing Stock Turnover Per Year from Additional Households</t>
  </si>
  <si>
    <t>2020-2030 Estimated Percent of Residential Housing Stock Turnover Per Year from Teardowns</t>
  </si>
  <si>
    <t>2030 County Non-Diesel MPG</t>
  </si>
  <si>
    <t>2030 County Diesel MPG</t>
  </si>
  <si>
    <t>Non-Diesel Vehicles</t>
  </si>
  <si>
    <t>Diesel Vehicles</t>
  </si>
  <si>
    <t>2020 County Non-Diesel MPG</t>
  </si>
  <si>
    <t>2020 County Diesel MPG</t>
  </si>
  <si>
    <t>Off-Road Transportation</t>
  </si>
  <si>
    <t>2014 Model</t>
  </si>
  <si>
    <t>2035 Model</t>
  </si>
  <si>
    <t>East Palo Alto</t>
  </si>
  <si>
    <t>Millbrae</t>
  </si>
  <si>
    <t>San Bruno</t>
  </si>
  <si>
    <t>Uninc. San Mateo County</t>
  </si>
  <si>
    <t>San Mateo</t>
  </si>
  <si>
    <t>Redwood City</t>
  </si>
  <si>
    <t>Brisbane</t>
  </si>
  <si>
    <t>Hillsborough</t>
  </si>
  <si>
    <t>Belmont</t>
  </si>
  <si>
    <t>Daly City</t>
  </si>
  <si>
    <t>South San Francisco</t>
  </si>
  <si>
    <t>Colma</t>
  </si>
  <si>
    <t>Half Moon Bay</t>
  </si>
  <si>
    <t>San Carlos</t>
  </si>
  <si>
    <t>Portola Valley</t>
  </si>
  <si>
    <t>Foster City</t>
  </si>
  <si>
    <t>Pacifica</t>
  </si>
  <si>
    <t>Burlingame</t>
  </si>
  <si>
    <t>Woodside</t>
  </si>
  <si>
    <t>Menlo Park</t>
  </si>
  <si>
    <t>Atherton</t>
  </si>
  <si>
    <t>Unincorporated County</t>
  </si>
  <si>
    <t xml:space="preserve">Select Town/City: </t>
  </si>
  <si>
    <t xml:space="preserve">* The above table is set up to use jurisdiction-specific VMT projections from the Metropolitan Transportation Commission (MTC) to determine the annual growth rate in the transportation sector. See "State Policies + BAU Assumptions" tab for more information. These default values in above table can be replaced if projections for individual jurisdiction is available. 
</t>
  </si>
  <si>
    <t xml:space="preserve">See assumptions on the "State Policies + BAU Assumptions" tab for more information. </t>
  </si>
  <si>
    <t>% Reduction from 2020 BAU Emissions in Sector</t>
  </si>
  <si>
    <r>
      <rPr>
        <b/>
        <sz val="11"/>
        <color theme="1"/>
        <rFont val="Arial"/>
        <family val="2"/>
        <scheme val="minor"/>
      </rPr>
      <t xml:space="preserve">Instructions: 
</t>
    </r>
    <r>
      <rPr>
        <sz val="11"/>
        <color theme="1"/>
        <rFont val="Arial"/>
        <family val="2"/>
        <scheme val="minor"/>
      </rPr>
      <t xml:space="preserve">No user edits needed on this worksheet. The below information is used to calculate the impact of State measures in reducing business-as-usual GHG emissions by 2020 and 2030. </t>
    </r>
  </si>
  <si>
    <r>
      <rPr>
        <b/>
        <sz val="11"/>
        <color theme="1"/>
        <rFont val="Arial"/>
        <family val="2"/>
        <scheme val="minor"/>
      </rPr>
      <t xml:space="preserve">Instructions: 
</t>
    </r>
    <r>
      <rPr>
        <sz val="11"/>
        <color theme="1"/>
        <rFont val="Arial"/>
        <family val="2"/>
        <scheme val="minor"/>
      </rPr>
      <t xml:space="preserve">No user edits needed on this worksheet. The below information is used to calculate the business-as-usual emissions forecasts for 2020 and 2030. </t>
    </r>
  </si>
  <si>
    <r>
      <t>GHG Emissions (MT CO</t>
    </r>
    <r>
      <rPr>
        <b/>
        <vertAlign val="subscript"/>
        <sz val="11"/>
        <color rgb="FFFFFFFF"/>
        <rFont val="Arial"/>
        <family val="2"/>
        <scheme val="minor"/>
      </rPr>
      <t>2</t>
    </r>
    <r>
      <rPr>
        <b/>
        <sz val="11"/>
        <color rgb="FFFFFFFF"/>
        <rFont val="Arial"/>
        <family val="2"/>
        <scheme val="minor"/>
      </rPr>
      <t>e)</t>
    </r>
  </si>
  <si>
    <t>Above data from Harold Brazil at MTC. MTC's model is currently designed to estimate VMT for the years 2014 and 2035. The annual growth rate in VMT for 2014--&gt;2035 is used as proxy for the annual growth rate in VMT for 2013--&gt;2030.</t>
  </si>
  <si>
    <t>2020 BAU Emissions (MT CO2e)</t>
  </si>
  <si>
    <t>Target Reduction Path</t>
  </si>
  <si>
    <t>Projected Reduction Path</t>
  </si>
  <si>
    <t>2030 BAU emissions (MT CO2e)</t>
  </si>
  <si>
    <t>Energy Measures Total  Emissions Reduction (MT CO2e)</t>
  </si>
  <si>
    <t>Transportation Measures Total  Emissions Reduction (MT CO2e)</t>
  </si>
  <si>
    <t>Waste Measures Total  Emissions Reduction (MT CO2e)</t>
  </si>
  <si>
    <t>Data From 2030 RICAPS Menu of Measures:</t>
  </si>
  <si>
    <t>2030 expected emisisons reduction from State measures (MT CO2e)</t>
  </si>
  <si>
    <t>2030 expected  emisisons reduction from City measures (MT CO2e)</t>
  </si>
  <si>
    <t>% Total 2030 BAU Emissions</t>
  </si>
  <si>
    <t>2030 Target</t>
  </si>
  <si>
    <t>Additional Reduction Needed to Meet Target</t>
  </si>
  <si>
    <t>2030 projected emissions with State and City measures (MT CO2e)</t>
  </si>
  <si>
    <t>2030 additional emissions reduction needed (MT CO2e)</t>
  </si>
  <si>
    <t>Residential Electricity</t>
  </si>
  <si>
    <t>kWh</t>
  </si>
  <si>
    <t>2030 BAU Percent Resedential + Commerical Emissions From Residiential</t>
  </si>
  <si>
    <t>2030 BAU Percent Resedential + Commerical Emissions From Commercial</t>
  </si>
  <si>
    <t>2005 emissions (MT CO2e)</t>
  </si>
  <si>
    <t>2030 49% Below percent 2005 emissions Target</t>
  </si>
  <si>
    <t>2013 GHG Inventory Total Emissions (MT CO2e)</t>
  </si>
  <si>
    <t>Non-Diesel</t>
  </si>
  <si>
    <t>Diesel</t>
  </si>
  <si>
    <t>MPG</t>
  </si>
  <si>
    <t>Gallons</t>
  </si>
  <si>
    <t>VMT</t>
  </si>
  <si>
    <t>Fuel Type</t>
  </si>
  <si>
    <t>GAS</t>
  </si>
  <si>
    <t>Aggregated</t>
  </si>
  <si>
    <t>UBUS</t>
  </si>
  <si>
    <t>T7IS</t>
  </si>
  <si>
    <t>T6TS</t>
  </si>
  <si>
    <t>SBUS</t>
  </si>
  <si>
    <t>OBUS</t>
  </si>
  <si>
    <t>MH</t>
  </si>
  <si>
    <t>MDV</t>
  </si>
  <si>
    <t>MCY</t>
  </si>
  <si>
    <t>LHD2</t>
  </si>
  <si>
    <t>LHD1</t>
  </si>
  <si>
    <t>LDT2</t>
  </si>
  <si>
    <t>LDT1</t>
  </si>
  <si>
    <t>LDA</t>
  </si>
  <si>
    <t>ELEC</t>
  </si>
  <si>
    <t>DSL</t>
  </si>
  <si>
    <t>T7 utility</t>
  </si>
  <si>
    <t>T7 tractor construction</t>
  </si>
  <si>
    <t>T7 tractor</t>
  </si>
  <si>
    <t>T7 SWCV</t>
  </si>
  <si>
    <t>T7 single construction</t>
  </si>
  <si>
    <t>T7 Single</t>
  </si>
  <si>
    <t>T7 Public</t>
  </si>
  <si>
    <t>T7 POAK</t>
  </si>
  <si>
    <t>T7 other port</t>
  </si>
  <si>
    <t>T7 NOOS</t>
  </si>
  <si>
    <t>T7 NNOOS</t>
  </si>
  <si>
    <t>T7 CAIRP construction</t>
  </si>
  <si>
    <t>T7 CAIRP</t>
  </si>
  <si>
    <t>T7 Ag</t>
  </si>
  <si>
    <t>T6 utility</t>
  </si>
  <si>
    <t>T6 Public</t>
  </si>
  <si>
    <t>T6 OOS small</t>
  </si>
  <si>
    <t>T6 OOS heavy</t>
  </si>
  <si>
    <t>T6 instate small</t>
  </si>
  <si>
    <t>T6 instate heavy</t>
  </si>
  <si>
    <t>T6 instate construction small</t>
  </si>
  <si>
    <t>T6 instate construction heavy</t>
  </si>
  <si>
    <t>T6 CAIRP small</t>
  </si>
  <si>
    <t>T6 CAIRP heavy</t>
  </si>
  <si>
    <t>T6 Ag</t>
  </si>
  <si>
    <t>PTO</t>
  </si>
  <si>
    <t>Motor Coach</t>
  </si>
  <si>
    <t>All Other Buses</t>
  </si>
  <si>
    <t>SOx_TOTEX</t>
  </si>
  <si>
    <t>SOx_STREX</t>
  </si>
  <si>
    <t>SOx_IDLEX</t>
  </si>
  <si>
    <t>SOx_RUNEX</t>
  </si>
  <si>
    <t>PM2_5_TOTAL</t>
  </si>
  <si>
    <t>PM2_5_PMBW</t>
  </si>
  <si>
    <t>PM2_5_PMTW</t>
  </si>
  <si>
    <t>PM2_5_TOTEX</t>
  </si>
  <si>
    <t>PM2_5_STREX</t>
  </si>
  <si>
    <t>PM2_5_IDLEX</t>
  </si>
  <si>
    <t>PM2_5_RUNEX</t>
  </si>
  <si>
    <t>PM10_TOTAL</t>
  </si>
  <si>
    <t>PM10_PMBW</t>
  </si>
  <si>
    <t>PM10_PMTW</t>
  </si>
  <si>
    <t>PM10_TOTEX</t>
  </si>
  <si>
    <t>PM10_STREX</t>
  </si>
  <si>
    <t>PM10_IDLEX</t>
  </si>
  <si>
    <t>PM10_RUNEX</t>
  </si>
  <si>
    <t>CO2_TOTEX</t>
  </si>
  <si>
    <t>CO2_STREX</t>
  </si>
  <si>
    <t>CO2_IDLEX</t>
  </si>
  <si>
    <t>CO2_RUNEX</t>
  </si>
  <si>
    <t>NOx_TOTEX</t>
  </si>
  <si>
    <t>NOx_STREX</t>
  </si>
  <si>
    <t>NOx_IDLEX</t>
  </si>
  <si>
    <t>NOx_RUNEX</t>
  </si>
  <si>
    <t>CO_TOTEX</t>
  </si>
  <si>
    <t>CO_STREX</t>
  </si>
  <si>
    <t>CO_IDLEX</t>
  </si>
  <si>
    <t>CO_RUNEX</t>
  </si>
  <si>
    <t>TOG_TOTAL</t>
  </si>
  <si>
    <t>TOG_RESTL</t>
  </si>
  <si>
    <t>TOG_RUNLS</t>
  </si>
  <si>
    <t>TOG_HTSK</t>
  </si>
  <si>
    <t>TOG_DIURN</t>
  </si>
  <si>
    <t>TOG_TOTEX</t>
  </si>
  <si>
    <t>TOG_STREX</t>
  </si>
  <si>
    <t>TOG_IDLEX</t>
  </si>
  <si>
    <t>TOG_RUNEX</t>
  </si>
  <si>
    <t>ROG_TOTAL</t>
  </si>
  <si>
    <t>ROG_RESTL</t>
  </si>
  <si>
    <t>ROG_RUNLS</t>
  </si>
  <si>
    <t>ROG_HTSK</t>
  </si>
  <si>
    <t>ROG_DIURN</t>
  </si>
  <si>
    <t>ROG_TOTEX</t>
  </si>
  <si>
    <t>ROG_STREX</t>
  </si>
  <si>
    <t>ROG_IDLEX</t>
  </si>
  <si>
    <t>ROG_RUNEX</t>
  </si>
  <si>
    <t>Trips</t>
  </si>
  <si>
    <t>Population</t>
  </si>
  <si>
    <t>Fuel</t>
  </si>
  <si>
    <t>Speed</t>
  </si>
  <si>
    <t>Region</t>
  </si>
  <si>
    <t>Units: miles/day for VMT, trips/day for Trips, tons/day for Emissions, 1000 gallons/day for Fuel Consumption</t>
  </si>
  <si>
    <t>Vehicle Classification: EMFAC2011 Categories</t>
  </si>
  <si>
    <t>Season: Annual</t>
  </si>
  <si>
    <t>Region Type: County</t>
  </si>
  <si>
    <t>Calendar Year: 2020</t>
  </si>
  <si>
    <t>Calendar Year: 2030</t>
  </si>
  <si>
    <t>EV</t>
  </si>
  <si>
    <t>% Total VMT</t>
  </si>
  <si>
    <t>2020 Activity</t>
  </si>
  <si>
    <t>2030 Activity</t>
  </si>
  <si>
    <t>Category</t>
  </si>
  <si>
    <t>Non-Residential Electricity</t>
  </si>
  <si>
    <t xml:space="preserve">Direct Access Electricity </t>
  </si>
  <si>
    <t>Residential Natural Gas</t>
  </si>
  <si>
    <t>Non-Residential Natural Gas</t>
  </si>
  <si>
    <t>Disposed Waste</t>
  </si>
  <si>
    <t>Water Consumption</t>
  </si>
  <si>
    <t>Off-Road Equipment</t>
  </si>
  <si>
    <t>Trains</t>
  </si>
  <si>
    <t>ADC</t>
  </si>
  <si>
    <t>2020 Emissions (MT CO2e)</t>
  </si>
  <si>
    <t>2030 Emissions (MT CO2e)</t>
  </si>
  <si>
    <t>Scenario</t>
  </si>
  <si>
    <t xml:space="preserve">2015 Community Greenhouse Gas Inventory </t>
  </si>
  <si>
    <t>2014 GHG Inventory Total Emissions (MT CO2e)</t>
  </si>
  <si>
    <t>EMFAC2017 (v1.0.2) Emissions Inventory</t>
  </si>
  <si>
    <t>Region: SAN MATEO</t>
  </si>
  <si>
    <t>Calendar Year: 2015</t>
  </si>
  <si>
    <t>Calendar Year</t>
  </si>
  <si>
    <t>Vehicle Category</t>
  </si>
  <si>
    <t>Model Year</t>
  </si>
  <si>
    <t>N2O_RUNEX</t>
  </si>
  <si>
    <t>N2O_IDLEX</t>
  </si>
  <si>
    <t>N2O_STREX</t>
  </si>
  <si>
    <t>N2O_TOTEX</t>
  </si>
  <si>
    <t>Fuel Consumption</t>
  </si>
  <si>
    <t>SAN MATEO</t>
  </si>
  <si>
    <t>Total</t>
  </si>
  <si>
    <t>PG&amp;E Percent Renewables w/ RPS</t>
  </si>
  <si>
    <t>PG&amp;E Percent Non-Renewables w/ RPS</t>
  </si>
  <si>
    <t>Percent Increase in Percent Renewables from Pervious Year</t>
  </si>
  <si>
    <t>PG&amp;E EF w/ RPS 
(MT CO2e/kWh)</t>
  </si>
  <si>
    <t>PG&amp;E Source</t>
  </si>
  <si>
    <t>Study Area RPS Level</t>
  </si>
  <si>
    <t>Study Area Percent Increase in Renewables from 33% Base (%)</t>
  </si>
  <si>
    <t>Study Area Emissions Savings from RPS (MT CO2e)</t>
  </si>
  <si>
    <t>Total Study Area Emissions (MT CO2e)</t>
  </si>
  <si>
    <t>Percent Decrease in Emissions (%)</t>
  </si>
  <si>
    <t>Percent Decrease in Emissions per Percent Increase in Renewables</t>
  </si>
  <si>
    <t xml:space="preserve">The above calculations are based an analysis by E3 of emissions reduction impact of California's RPS policy in the report "Investigating a Higher Renewables Portfolio Standard in California." See section 5.2.3 of the report. </t>
  </si>
  <si>
    <t xml:space="preserve">E3 Source </t>
  </si>
  <si>
    <t>2015 Activity</t>
  </si>
  <si>
    <t>2015 Vehicle Mix &amp; Efficiency Summary</t>
  </si>
  <si>
    <t>2020 Vehicle Mix &amp; Efficiency Summary</t>
  </si>
  <si>
    <t>2030 Vehicle Mix &amp; Efficiency Summary</t>
  </si>
  <si>
    <t>Total VMT - Gasoline</t>
  </si>
  <si>
    <t>Total VMT - Diesel</t>
  </si>
  <si>
    <t>Landfills</t>
  </si>
  <si>
    <t>PBA 2016 Preferred Scenario</t>
  </si>
  <si>
    <t>PBA Projections 2013</t>
  </si>
  <si>
    <t>CAGR: 
2010 --&gt; 2040</t>
  </si>
  <si>
    <t>GHG Emissions (MT CO2e)</t>
  </si>
  <si>
    <t>Solid Waste - Disposed</t>
  </si>
  <si>
    <t>Solid Waste - Landfills</t>
  </si>
  <si>
    <t>Emissions</t>
  </si>
  <si>
    <t>Commercial/ Industrial</t>
  </si>
  <si>
    <t>Water &amp; Wastewater</t>
  </si>
  <si>
    <t>2015 INVENTORY</t>
  </si>
  <si>
    <t>2005 INVENTORY</t>
  </si>
  <si>
    <t>2005 - 77,225 MT CO2e</t>
  </si>
  <si>
    <t>2015 - 62,533 MT CO2e</t>
  </si>
  <si>
    <t>% Reduction Waste Emissions: 2014 --&gt; 2025</t>
  </si>
  <si>
    <t>2014 Disposed Waste Emissions (MT CO2e)</t>
  </si>
  <si>
    <t>2030 Remaining Disposed Waste Emissions (MT CO2e)</t>
  </si>
  <si>
    <t>Data</t>
  </si>
  <si>
    <t>BAU Projections w/ State Measures + PCE</t>
  </si>
  <si>
    <t>Description</t>
  </si>
  <si>
    <t>Local Roads-Gasoline</t>
  </si>
  <si>
    <t>Local Roads-Diesel</t>
  </si>
  <si>
    <t>State Highways-Gasoline</t>
  </si>
  <si>
    <t>State Highways-Diesel</t>
  </si>
  <si>
    <t>2020 Target: 15% Below 2005</t>
  </si>
  <si>
    <t>2030 Target: 49% Below 2005</t>
  </si>
  <si>
    <t>Caltrain</t>
  </si>
  <si>
    <t>Census</t>
  </si>
  <si>
    <t>RWC 2010 GP</t>
  </si>
  <si>
    <t>ABAG Projections</t>
  </si>
  <si>
    <t>Activity Data Units</t>
  </si>
  <si>
    <t>therms</t>
  </si>
  <si>
    <t>gallons diesel</t>
  </si>
  <si>
    <t>gallons gasoline</t>
  </si>
  <si>
    <t>tons</t>
  </si>
  <si>
    <t>Residential  New Construction Percent Reduction in BAU Natural Gas Consumption in 2030</t>
  </si>
  <si>
    <t>Residential  New Construction Percent Reduction in BAU Grid Electricity Consumption in 2030</t>
  </si>
  <si>
    <t>Existing Commercial Percent Reduction in BAU Natural Gas Consumption in 2030</t>
  </si>
  <si>
    <t>Existing Commercial Percent Reduction in BAU Grid Electricity Consumption in 2030</t>
  </si>
  <si>
    <t>2020 No Project Scenario</t>
  </si>
  <si>
    <t>2020 Proposed Project Scenario</t>
  </si>
  <si>
    <t>2020 No Project vs. Proposed</t>
  </si>
  <si>
    <t>Activity Data 
(Gallons or kWh)</t>
  </si>
  <si>
    <t>Proposed Project Emissions</t>
  </si>
  <si>
    <t>Activity Data (Gallons or kWh)</t>
  </si>
  <si>
    <t>Percent Change Activity Data</t>
  </si>
  <si>
    <t>Absolute Change Activity Data</t>
  </si>
  <si>
    <t xml:space="preserve">Caltrain Diesel </t>
  </si>
  <si>
    <t>Caltrain Electricity</t>
  </si>
  <si>
    <t>Total Caltrain System</t>
  </si>
  <si>
    <t>2040 No Project Scenario</t>
  </si>
  <si>
    <t>2040 Proposed Project Scenario</t>
  </si>
  <si>
    <t>2040 No Project vs. Proposed</t>
  </si>
  <si>
    <t>Proposed Project</t>
  </si>
  <si>
    <t>Caltrain Study Electricity Emission Factor (MT CO2e/kWh)</t>
  </si>
  <si>
    <t>Emission Factors</t>
  </si>
  <si>
    <t>Caltrain Study Diesel Emission Factor (MT CO2e/Gallon)</t>
  </si>
  <si>
    <t>2020 % decrease in diesel consumption</t>
  </si>
  <si>
    <t>Impact on Diesel Consumption</t>
  </si>
  <si>
    <t>2030 % decrease in diesel consumption</t>
  </si>
  <si>
    <t>2040 % decrease in diesel consumption</t>
  </si>
  <si>
    <t>2050 % decrease in diesel consumption</t>
  </si>
  <si>
    <t>2020 Increase in electricity consumption per decrease in diesel consumption (kWh/gallon)</t>
  </si>
  <si>
    <t>Impact on Electricity Consumption</t>
  </si>
  <si>
    <t>2030 Increase in electricity consumption per decrease in diesel consumption (kWh/gallon)</t>
  </si>
  <si>
    <t>2040 Increase in electricity consumption per decrease in diesel consumption (kWh/gallon)</t>
  </si>
  <si>
    <t>2050 Increase in electricity consumption per decrease in diesel consumption (kWh/gallon)</t>
  </si>
  <si>
    <t xml:space="preserve">The 2020 and 2040 diesel and electricity emissions under the "No Project" (i.e. no Caltrain electrification) and "Proposed Project" (i.e. with Caltrain electrification) are from the Peninsula Joint Powers Board "Settings, Impacts, and Mitigation Measures Greenhouse Gas Emissions and Climate Change" document, Table 3.7-4. Estimated Operational GHG Emissions. Electricity and diesel emission factors used in the report were used to translate the change in emissions into a change in energy consumption. The percent change in energy consumption was then used to estimate the impacts to the City (i.e. decreased diesel consumption and increased electricity consumption). The impacts for 2030 were assumed to be the average of 2020 and 2040 impacts. The impacts for 2050 were assumed to be the same as the 2040 impacts. </t>
  </si>
  <si>
    <t>Caltrain Source</t>
  </si>
  <si>
    <t>2020 BAU</t>
  </si>
  <si>
    <t>2020 BAU w/ State</t>
  </si>
  <si>
    <t>2030 BAU w/ State</t>
  </si>
  <si>
    <t>Percent Reduction in Natural Gas Consumption for Average Commercial ZNE Building</t>
  </si>
  <si>
    <t>Percent Reduction in Electricity Consumption for Average Commercial ZNE Building</t>
  </si>
  <si>
    <t>Percent Reduction in Natural Gas Consumption for Average Residential ZNE Building</t>
  </si>
  <si>
    <t>Percent Reduction in Electricity Consumption for Average Residential ZNE Building</t>
  </si>
  <si>
    <t>2020 Emissions Avoided Non-RPS State Measures (MT CO2e)</t>
  </si>
  <si>
    <t>Caltrain Electrification</t>
  </si>
  <si>
    <t>All State Measures:</t>
  </si>
  <si>
    <t xml:space="preserve">SB100 goals of 50% renewable electricity by 2026, 60% by 2030 and 100% by 2050 from SB100. </t>
  </si>
  <si>
    <t>SB100 Source</t>
  </si>
  <si>
    <t>Advanced Clean Cars Program Assumptions</t>
  </si>
  <si>
    <t>Low Carbon Fuel Standard (LCFS) Assumptions</t>
  </si>
  <si>
    <t>ZNE Residential New Construction: 100% by 2020 Assumptions</t>
  </si>
  <si>
    <t>ZNE Commercial Existing Construction: 50% by 2030 Assumptions</t>
  </si>
  <si>
    <t>MTC Modeled Average Daily VMT Data by City: 2014 and 2035</t>
  </si>
  <si>
    <t>Organic Waste Diversion SB 1383 Assumptions</t>
  </si>
  <si>
    <t>Caltrain Electrification Assumptions</t>
  </si>
  <si>
    <t>PCE Impact 2020</t>
  </si>
  <si>
    <t>City</t>
  </si>
  <si>
    <t>Opt-Out % May 2018</t>
  </si>
  <si>
    <t>Percent of Non-DA Load Choosing PG&amp;E</t>
  </si>
  <si>
    <t>Percent of Non-DA Load Choosing PCE</t>
  </si>
  <si>
    <t>PCE Average Emission Factor (MT CO2e/kWh)</t>
  </si>
  <si>
    <t>2030 Remaining Emissions w/ State Measures (MT CO2e)</t>
  </si>
  <si>
    <t>2030 Remaining Emissions w/ State Measures + PCE (MT CO2e)</t>
  </si>
  <si>
    <t>All Non-DA Electricity</t>
  </si>
  <si>
    <t>All State Measures + PCE:</t>
  </si>
  <si>
    <t>BAU</t>
  </si>
  <si>
    <t>BAU w/ State Measures</t>
  </si>
  <si>
    <t>BAU w/ State Measures + PCE</t>
  </si>
  <si>
    <t>Historic</t>
  </si>
  <si>
    <t>Low Carbon Fuel Standard (LCF)</t>
  </si>
  <si>
    <t>Advanced Clean Cars Program</t>
  </si>
  <si>
    <t>Renewable Portfolio Standard (RPS)</t>
  </si>
  <si>
    <t>ZNE 50% Existing Commercial Construction by 2030</t>
  </si>
  <si>
    <t>ZNE 100% New Residential Construction by 2020</t>
  </si>
  <si>
    <t xml:space="preserve">Organic Waste Diversion SB 1383 </t>
  </si>
  <si>
    <t>Peninsula Clean Energy (PCE)</t>
  </si>
  <si>
    <t>Non-Residential Energy</t>
  </si>
  <si>
    <t>2020 BAU Emissions in Applicable Sector (MT CO2e)</t>
  </si>
  <si>
    <t>2030 BAU Emissions in Applicable Sector (MT CO2e)</t>
  </si>
  <si>
    <t>Reduction in City’s Emissions by 2020 (MT CO2e)</t>
  </si>
  <si>
    <t>Reduction in City’s Emissions by 2030 (MT CO2e)</t>
  </si>
  <si>
    <t>2020 Emission Factor w/ State Measures 
(MT CO2e)</t>
  </si>
  <si>
    <t>2020 Emissions Avoided RPS State Measure 
(MT CO2e)</t>
  </si>
  <si>
    <t>2020 Emissions Avoided PCE 
(MT CO2e)</t>
  </si>
  <si>
    <t>2030 Emissions Avoided Non-RPS State Measures (MT CO2e)</t>
  </si>
  <si>
    <t>2030 Emission Factor w/ State Measures (MT CO2e)</t>
  </si>
  <si>
    <t>2030 Emissions Avoided RPS State Measure (MT CO2e)</t>
  </si>
  <si>
    <t>2020 BAU Emission Factor (MT CO2e / Activity Data Unit)</t>
  </si>
  <si>
    <t>2020 BAU Activity Data</t>
  </si>
  <si>
    <t>2030 BAU Activity Data</t>
  </si>
  <si>
    <t>2030 BAU Emissions (MT CO2e)</t>
  </si>
  <si>
    <t>2030 BAU Emission Factor (MT CO2e / Activity Data Unit)</t>
  </si>
  <si>
    <t>Plan Bay Area Projections 2013: Households by Jurisdiction - 2010 - 2040</t>
  </si>
  <si>
    <t>Plan Bay Area Projections 2013: Jobs by Jurisdiction - 2010 - 2040</t>
  </si>
  <si>
    <t>Growth Rates</t>
  </si>
  <si>
    <t>Future Emissions BAU</t>
  </si>
  <si>
    <t>Future Activity BAU</t>
  </si>
  <si>
    <t>Future Activity w/ State</t>
  </si>
  <si>
    <t>Future Emissions w/ State Measures</t>
  </si>
  <si>
    <t>2020 Activity Data with State Measures</t>
  </si>
  <si>
    <t>2030 Activity Data with State Measures</t>
  </si>
  <si>
    <t>2020 Emissions with State Measures</t>
  </si>
  <si>
    <t>2030 Emissions with State Measures</t>
  </si>
  <si>
    <t>Total VMT</t>
  </si>
  <si>
    <t>Gasoline Consumption</t>
  </si>
  <si>
    <t>Diesel Consumption</t>
  </si>
  <si>
    <t xml:space="preserve">The above data is formatted to be copy/pasted directly into the RICAPS Menu of Measures. </t>
  </si>
  <si>
    <t xml:space="preserve">2020 Activity Data w/ State Measures </t>
  </si>
  <si>
    <t>2030 Activity Data w/ State Measures</t>
  </si>
  <si>
    <t>Table 1: Inputs for "Assumptions" Tab of RICAPS Menu of Measures</t>
  </si>
  <si>
    <r>
      <rPr>
        <b/>
        <sz val="11"/>
        <rFont val="Arial"/>
        <family val="2"/>
        <scheme val="minor"/>
      </rPr>
      <t xml:space="preserve">Instructions: 
</t>
    </r>
    <r>
      <rPr>
        <sz val="11"/>
        <rFont val="Arial"/>
        <family val="2"/>
        <scheme val="minor"/>
      </rPr>
      <t xml:space="preserve">The purpose of the below summary table is to be direclty copy/pasted into the "Assumptions" tab of the RICAPS Menu of Measures. This enables the RICAPS Menu of Measures analysis to utilizie the assumptions from the RICAPS Forecast Tool. </t>
    </r>
  </si>
  <si>
    <t>Most Recent GHG Inventory</t>
  </si>
  <si>
    <t>2020 Target Year</t>
  </si>
  <si>
    <t>Years from GHG Inventory --&gt; 2020</t>
  </si>
  <si>
    <t>Years from GHG Inventory --&gt; 2030</t>
  </si>
  <si>
    <t>2030 Target Year</t>
  </si>
  <si>
    <t>2005--&gt;2010 Growth Rate</t>
  </si>
  <si>
    <t>GHG Inventory Year --&gt; 2020 Growth Rate</t>
  </si>
  <si>
    <t>2020 --&gt; 2030 Growth Rate</t>
  </si>
  <si>
    <t>Business-as-Usual Emissions (MT CO2e):</t>
  </si>
  <si>
    <t>Required Emissions Reduction to Achieve Target (MT CO2e):</t>
  </si>
  <si>
    <t>Emissions Reduction from State Measures (MT CO2e):</t>
  </si>
  <si>
    <t>Emissions Reduction From State + City Measures (MT CO2e):</t>
  </si>
  <si>
    <t>Remaining Emissions with State + City Measures (MT CO2e):</t>
  </si>
  <si>
    <t>Percent Below 2005 Baseline  with State + City Measures:</t>
  </si>
  <si>
    <t>Target: Percent Below 2005 Baseline Emissions:</t>
  </si>
  <si>
    <t>Target Emissions (MT CO2e):</t>
  </si>
  <si>
    <t>Remaining Emissions Reduction Needed to Achieve Target:</t>
  </si>
  <si>
    <t>Table 1: Inventory Year Selection</t>
  </si>
  <si>
    <t xml:space="preserve">Table 2: 2005 Community Greenhouse Gas Inventory </t>
  </si>
  <si>
    <t xml:space="preserve">Table 3: 2010 Community Greenhouse Gas Inventory </t>
  </si>
  <si>
    <t>Table 2: GHG Historical GHG Inventories and BAU Forecast</t>
  </si>
  <si>
    <t>Table 3: GHG BAU Forecast Growth Factor Inputs</t>
  </si>
  <si>
    <t xml:space="preserve"> Table 4: Historical Emissions, Emissions Forecast, and Emissions Targets</t>
  </si>
  <si>
    <t>Table 5: Emissions Forecast Growth Rates</t>
  </si>
  <si>
    <t>Table 7: 2020-2030 Emissions Reduction Impact of State Measures &amp; Peninsula Clean Energy</t>
  </si>
  <si>
    <r>
      <rPr>
        <b/>
        <sz val="11"/>
        <rFont val="Arial"/>
        <family val="2"/>
        <scheme val="minor"/>
      </rPr>
      <t xml:space="preserve">Instructions: 
</t>
    </r>
    <r>
      <rPr>
        <sz val="11"/>
        <rFont val="Arial"/>
        <family val="2"/>
        <scheme val="minor"/>
      </rPr>
      <t xml:space="preserve">Select the name of the town or city in the drop-down menu in cell C4 below. The tool is setup to automatically populate forecasted VMT growth based on data from MTC. However, if you would like to use alternative projections for VMT growth (e.g. from your jurisdiction's General Plan), simply adjust the VMT growth rates in Table 2 below. Data on projected growth in number of households and number of jobs must be manually input into Table 3 on this tab. The "Plan Bay Area" tab of this tool has Plan Bay Area projections on number of households and jobs by jurisdiction if the city prefers to use this data. The graph and table below will populate automatically without additional inputs from user. </t>
    </r>
  </si>
  <si>
    <r>
      <t xml:space="preserve"> (MTCO</t>
    </r>
    <r>
      <rPr>
        <b/>
        <vertAlign val="subscript"/>
        <sz val="11"/>
        <color theme="1"/>
        <rFont val="Arial"/>
        <family val="2"/>
        <scheme val="minor"/>
      </rPr>
      <t>2</t>
    </r>
    <r>
      <rPr>
        <b/>
        <sz val="11"/>
        <color theme="1"/>
        <rFont val="Arial"/>
        <family val="2"/>
        <scheme val="minor"/>
      </rPr>
      <t>e)</t>
    </r>
  </si>
  <si>
    <r>
      <t xml:space="preserve"> (MTCO</t>
    </r>
    <r>
      <rPr>
        <b/>
        <vertAlign val="subscript"/>
        <sz val="11"/>
        <color indexed="9"/>
        <rFont val="Arial"/>
        <family val="2"/>
        <scheme val="minor"/>
      </rPr>
      <t>2</t>
    </r>
    <r>
      <rPr>
        <b/>
        <sz val="11"/>
        <color indexed="9"/>
        <rFont val="Arial"/>
        <family val="2"/>
        <scheme val="minor"/>
      </rPr>
      <t>e)</t>
    </r>
  </si>
  <si>
    <t>2014 Disposed Waste Emissions (MT CO2e):</t>
  </si>
  <si>
    <t>PCE Participation Rates + Emission Factor Assumptions</t>
  </si>
  <si>
    <t>PCE Opt-out Rates by City Assumptions</t>
  </si>
  <si>
    <t>2025 Disposed Waste Emissions (MT CO2e)</t>
  </si>
  <si>
    <t>2030 BAU Disposed Waste Emissions (MT CO2e)</t>
  </si>
  <si>
    <t>2030 Reduction Disposed Waste Emissions (MT CO2e)</t>
  </si>
  <si>
    <t xml:space="preserve">SB 1383 is an ordinance that established a target of a 50% reduction in organic material sent to landfill below 2014 levels by 2020 and 75% below 2014 levels by 2025. Since the ordinance is not a requirement for local jurisdictions until after 2020, this analysis assumes this ordinance will only impact the 2030 forecast. </t>
  </si>
  <si>
    <t>PCE Impact 2030</t>
  </si>
  <si>
    <t xml:space="preserve">Residential (Population) </t>
  </si>
  <si>
    <t>2030 Emissions Avoided PCE (MT CO2e)</t>
  </si>
  <si>
    <t>Emissions Reduction From City Measures + PCE (MT CO2e)</t>
  </si>
  <si>
    <t>Waste</t>
  </si>
  <si>
    <t>City Measures</t>
  </si>
  <si>
    <t>w/ City Measures</t>
  </si>
  <si>
    <t>With State + PCE</t>
  </si>
  <si>
    <t>% of Total Emissions</t>
  </si>
  <si>
    <t>% Change from BAU</t>
  </si>
  <si>
    <t>2020 Remaining Emissions w/ State Measures 
(MT CO2e)</t>
  </si>
  <si>
    <t xml:space="preserve">BAU </t>
  </si>
  <si>
    <t>BAU w / State</t>
  </si>
  <si>
    <t>Remaining</t>
  </si>
  <si>
    <t>Off-Road + Trains + WWTP</t>
  </si>
  <si>
    <t>Diesel Average Carbon Intensity (g CO2e/MJ)</t>
  </si>
  <si>
    <t xml:space="preserve">The current LCFS regulation calls for a 20 percent decline in the carbon intensity of diesel fuels below 2020 levels by 2030. Under the current regulation, this carbon intensity decline will hold constant for all years post-2030. </t>
  </si>
  <si>
    <t>CARB Source</t>
  </si>
  <si>
    <t>2015 GHG Inventory Total Emissions (MT CO2e)</t>
  </si>
  <si>
    <t>2016 GHG Inventory Total Emissions (MT CO2e)</t>
  </si>
  <si>
    <t xml:space="preserve">Table 4: 2017 Community Greenhouse Gas Inventory </t>
  </si>
  <si>
    <t>Calendar Year: 2017</t>
  </si>
  <si>
    <t>CH4_RUNEX</t>
  </si>
  <si>
    <t>CH4_IDLEX</t>
  </si>
  <si>
    <t>CH4_STREX</t>
  </si>
  <si>
    <t>CH4_TOTEX</t>
  </si>
  <si>
    <t>2017 Vehicle Mix &amp; Efficiency Summary</t>
  </si>
  <si>
    <t>2017 County Non-Diesel MPG</t>
  </si>
  <si>
    <t>2017--&gt;2020 County Percent Decrease in Non-Diesel Total Emissions</t>
  </si>
  <si>
    <t>2017--&gt;2030 County Percent Decrease in Non-Diesel Total Emissions</t>
  </si>
  <si>
    <t>2017 County Diesel MPG</t>
  </si>
  <si>
    <t>2017--&gt;2020 County Percent Decrease in Diesel Total Emissions</t>
  </si>
  <si>
    <t>2017-&gt;2030 County Percent Decrease in Diesel Total Emissions</t>
  </si>
  <si>
    <t>2017, 2020 and 2030 County-wide fuel efficiencies are from the California Air Resources Board EMFAC2017 Web Database. "Non-diesel" vehicles include both gasoline and electric vehicles.</t>
  </si>
  <si>
    <t>2017  --&gt; 2020 % change carbon intensity</t>
  </si>
  <si>
    <t>2017 --&gt; 2030 % change carbon intensity</t>
  </si>
  <si>
    <t>2017 Activity Data</t>
  </si>
  <si>
    <t>2017 GHG Emissions (MT CO2e)</t>
  </si>
  <si>
    <t>2017 Emissions Factor (MT CO2e / Activity Data Unit)</t>
  </si>
  <si>
    <t xml:space="preserve">2017 percent of PG&amp;E electricity from eligible renewable sources from PG&amp;E 2017 Power Mix. </t>
  </si>
  <si>
    <t>Renewable Portfolio Standard (RPS) Assumptions: 2017-2050</t>
  </si>
  <si>
    <t>Renewable Portfolio Standard (RPS) Assumptions Part 2: 2017-2050</t>
  </si>
  <si>
    <t>2017 Annual VMT:</t>
  </si>
  <si>
    <t>Table 5: 2011-2016 Community GHG Inventories</t>
  </si>
  <si>
    <r>
      <rPr>
        <b/>
        <sz val="11"/>
        <color theme="1"/>
        <rFont val="Arial"/>
        <family val="2"/>
        <scheme val="minor"/>
      </rPr>
      <t xml:space="preserve">Instructions: </t>
    </r>
    <r>
      <rPr>
        <sz val="11"/>
        <color theme="1"/>
        <rFont val="Arial"/>
        <family val="2"/>
        <scheme val="minor"/>
      </rPr>
      <t xml:space="preserve">Enter the detailed sector-by-sector community emissions data for 2005, 2010 and 2017 in Tables 1-3 below. The "Percent of Total GHG Emissions" column will automatically populate. Enter the total community emissions data for 2011-2016 into Table 4 below. </t>
    </r>
  </si>
  <si>
    <t>Annual growth rate: 2017--&gt;2020</t>
  </si>
  <si>
    <t>Annual growth rate: 2017--&gt;2030</t>
  </si>
  <si>
    <t>2017 Emissions (MT CO2e)</t>
  </si>
  <si>
    <t>2017 Baseline</t>
  </si>
  <si>
    <t>2017--&gt; 2020 Annual Growth Rate</t>
  </si>
  <si>
    <t>2017--&gt; 2030 Annual Growth Rate</t>
  </si>
  <si>
    <t>Years from GHG Inventory --&gt; 2045</t>
  </si>
  <si>
    <t>2045 Target Year</t>
  </si>
  <si>
    <t>Annual Growth</t>
  </si>
  <si>
    <t>Values to update manually for each city</t>
  </si>
  <si>
    <t>2045 BAU</t>
  </si>
  <si>
    <t>2045 BAU w/ State</t>
  </si>
  <si>
    <t>PCE Impact 2045</t>
  </si>
  <si>
    <t>Table 6: 2015-2045 Activity Data &amp; Emissions Master Table</t>
  </si>
  <si>
    <t>2045 BAU Activity Data</t>
  </si>
  <si>
    <t>2045 BAU Emissions (MT CO2e)</t>
  </si>
  <si>
    <t>2045 BAU Emission Factor (MT CO2e / Activity Data Unit)</t>
  </si>
  <si>
    <t>2045 Total Households in San Matero County</t>
  </si>
  <si>
    <t>2020-2045 Total Additional Households in San Mateo County</t>
  </si>
  <si>
    <t>2020-2045 Total Additional Households in San Mateo County Per Year</t>
  </si>
  <si>
    <t>2020-2045 Percent of Residential Housing Stock Turnover Per Year from Additional Households</t>
  </si>
  <si>
    <t>2020-2045 Estimated Percent of Residential Housing Stock Turnover Per Year from Teardowns</t>
  </si>
  <si>
    <t>2020-2030 Annual Percent of Total Residential Square Footage that is New Residential Construction</t>
  </si>
  <si>
    <t>2020-2045 Annual Percent of Total Residential Square Footage that is New Residential Construction</t>
  </si>
  <si>
    <t>2045 Residential Energy BAU Projected Emissions</t>
  </si>
  <si>
    <t>Percent of Residential Building Stock Replaced between 2020 and  2045</t>
  </si>
  <si>
    <t>Residential  New Construction Percent Reduction in BAU Natural Gas Consumption in 2045</t>
  </si>
  <si>
    <t>Percent of Existing Commercial Buildings Achieving ZNE by 2045</t>
  </si>
  <si>
    <t>Existing Commercial Percent Reduction in BAU Natural Gas Consumption in 2045</t>
  </si>
  <si>
    <t>Existing Commercial Percent Reduction in BAU Grid Electricity Consumption in 2045</t>
  </si>
  <si>
    <t>2017--&gt;2045 County Percent Decrease in Non-Diesel Total Emissions</t>
  </si>
  <si>
    <t>2045 County Non-Diesel MPG</t>
  </si>
  <si>
    <t>2017-&gt;2045 County Percent Decrease in Diesel Total Emissions</t>
  </si>
  <si>
    <t>2045 Activity Data w/ State Measures</t>
  </si>
  <si>
    <t>2017 --&gt; 2045 % change carbon intensity</t>
  </si>
  <si>
    <t>2045 Reduction Disposed Waste Emissions (MT CO2e)</t>
  </si>
  <si>
    <t>2045 BAU Disposed Waste Emissions (MT CO2e)</t>
  </si>
  <si>
    <t>2045 Remaining Disposed Waste Emissions (MT CO2e)</t>
  </si>
  <si>
    <t>2045 Emissions Avoided Non-RPS State Measures (MT CO2e)</t>
  </si>
  <si>
    <t>2045 Emission Factor w/ State Measures (MT CO2e)</t>
  </si>
  <si>
    <t>2045 Emissions Avoided RPS State Measure (MT CO2e)</t>
  </si>
  <si>
    <t>2045 Emissions Avoided PCE (MT CO2e)</t>
  </si>
  <si>
    <t>2045 Remaining Emissions w/ State Measures + PCE (MT CO2e)</t>
  </si>
  <si>
    <t>2045 BAU Emissions in Applicable Sector (MT CO2e)</t>
  </si>
  <si>
    <t>Reduction in City's Emissions by 2045 (MT CO2e)</t>
  </si>
  <si>
    <t>Instructions: Enter the total expected GHG reductions from the RICAPS Menu of Measures for the year 2020 and 2030 and 2045 to see if your climate action plan is expected to meet the GHG reduction target.</t>
  </si>
  <si>
    <t>Table 1: Reaching 2020 &amp; 2030 &amp; 2045 Targets: Impact of State + City Measures</t>
  </si>
  <si>
    <t>2045 Target: 100% Below 2005</t>
  </si>
  <si>
    <t>2025-2030</t>
  </si>
  <si>
    <t>2030-2035</t>
  </si>
  <si>
    <t>2035-2040</t>
  </si>
  <si>
    <t>2040--&gt;2045</t>
  </si>
  <si>
    <t>Growth Rate Assumptions 2025 --&gt; 2045</t>
  </si>
  <si>
    <t>Plan Bay Area Projections 2013: Population by Jurisdiction - 2010 - 2045</t>
  </si>
  <si>
    <t>Population by Jurisdiction</t>
  </si>
  <si>
    <t>Jobs by Jurisdiction</t>
  </si>
  <si>
    <t>Households by Jurisdiction</t>
  </si>
  <si>
    <t>Source: EMFAC2017 (v1.0.2) Emissions Inventory</t>
  </si>
  <si>
    <t>Region: San Mateo</t>
  </si>
  <si>
    <t>Calendar Year: 2040</t>
  </si>
  <si>
    <t>Gasoline</t>
  </si>
  <si>
    <t>Calendar Year: 2045</t>
  </si>
  <si>
    <t>Calendar Year: 2050</t>
  </si>
  <si>
    <t>2035 Compound Annual Growth Rate</t>
  </si>
  <si>
    <t>PM2.5_RUNEX</t>
  </si>
  <si>
    <t>PM2.5_IDLEX</t>
  </si>
  <si>
    <t>PM2.5_STREX</t>
  </si>
  <si>
    <t>PM2.5_TOTEX</t>
  </si>
  <si>
    <t>PM2.5_PMTW</t>
  </si>
  <si>
    <t>PM2.5_PMBW</t>
  </si>
  <si>
    <t>PM2.5_TOTAL</t>
  </si>
  <si>
    <t>ROG_HOTSOAK</t>
  </si>
  <si>
    <t>ROG_RUNLOSS</t>
  </si>
  <si>
    <t>ROG_RESTLOSS</t>
  </si>
  <si>
    <t>TOG_HOTSOAK</t>
  </si>
  <si>
    <t>TOG_RUNLOSS</t>
  </si>
  <si>
    <t>TOG_RESTLOSS</t>
  </si>
  <si>
    <t>Aggregate</t>
  </si>
  <si>
    <t>2040 County Non-Diesel MPG</t>
  </si>
  <si>
    <t>2050 County Non-Diesel MPG</t>
  </si>
  <si>
    <t>2017--&gt;2040 County Percent Decrease in Non-Diesel Total Emissions</t>
  </si>
  <si>
    <t>2017--&gt;2050 County Percent Decrease in Non-Diesel Total Emissions</t>
  </si>
  <si>
    <t>2045 County Diesel MPG</t>
  </si>
  <si>
    <t>2040 County Diesel MPG</t>
  </si>
  <si>
    <t>2050 County Diesel MPG</t>
  </si>
  <si>
    <t>2017-&gt;2040 County Percent Decrease in Diesel Total Emissions</t>
  </si>
  <si>
    <t>2017-&gt;2050 County Percent Decrease in Diesel Total Emissions</t>
  </si>
  <si>
    <t>CAP Target Year 2</t>
  </si>
  <si>
    <t>CAP Target Year 3</t>
  </si>
  <si>
    <t>CAP Target Year 4</t>
  </si>
  <si>
    <t>Years of policy in place by CAP Target Year 2</t>
  </si>
  <si>
    <t>Years of policy in place by CAP Target Year 3</t>
  </si>
  <si>
    <t>Years of policy in place by CAP Target Year 4</t>
  </si>
  <si>
    <t xml:space="preserve">2040 Total Households in San Mateo County </t>
  </si>
  <si>
    <t>2050 Total Households in San Matero County</t>
  </si>
  <si>
    <t>2020-2040 Total Additional Households in San Mateo County</t>
  </si>
  <si>
    <t>2020-2050 Total Additional Households in San Mateo County</t>
  </si>
  <si>
    <t>2020-2040 Total Additional Households in San Mateo County Per Year</t>
  </si>
  <si>
    <t>2020-2050 Total Additional Households in San Mateo County Per Year</t>
  </si>
  <si>
    <t>2020-2040 Percent of Residential Housing Stock Turnover Per Year from Additional Households</t>
  </si>
  <si>
    <t>2020-2050 Percent of Residential Housing Stock Turnover Per Year from Additional Households</t>
  </si>
  <si>
    <t>2020-2040 Estimated Percent of Residential Housing Stock Turnover Per Year from Teardowns</t>
  </si>
  <si>
    <t>2020-2050 Estimated Percent of Residential Housing Stock Turnover Per Year from Teardowns</t>
  </si>
  <si>
    <t>2020-2040 Annual Percent of Total Residential Square Footage that is New Residential Construction</t>
  </si>
  <si>
    <t>2020-2050 Annual Percent of Total Residential Square Footage that is New Residential Construction</t>
  </si>
  <si>
    <t>2050 Residential Energy BAU Projected Emissions</t>
  </si>
  <si>
    <t>2040 Residential Energy BAU Projected Emissions</t>
  </si>
  <si>
    <t>Percent of Residential Building Stock Replaced between 2020 and  2050</t>
  </si>
  <si>
    <t>Percent of Residential Building Stock Replaced between 2020 and  2040</t>
  </si>
  <si>
    <t>Residential  New Construction Percent Reduction in BAU Natural Gas Consumption in 2040</t>
  </si>
  <si>
    <t>Residential  New Construction Percent Reduction in BAU Natural Gas Consumption in 2050</t>
  </si>
  <si>
    <t>Residential  New Construction Percent Reduction in BAU Grid Electricity Consumption in 2040</t>
  </si>
  <si>
    <t>Residential  New Construction Percent Reduction in BAU Grid Electricity Consumption in 2045</t>
  </si>
  <si>
    <t>Percent of Existing Commercial Buildings Achieving ZNE by 2040</t>
  </si>
  <si>
    <t>Percent of Existing Commercial Buildings Achieving ZNE by 2050</t>
  </si>
  <si>
    <t>Existing Commercial Percent Reduction in BAU Natural Gas Consumption in 2040</t>
  </si>
  <si>
    <t>Existing Commercial Percent Reduction in BAU Natural Gas Consumption in 2050</t>
  </si>
  <si>
    <t>Existing Commercial Percent Reduction in BAU Grid Electricity Consumption in 2040</t>
  </si>
  <si>
    <t>Existing Commercial Percent Reduction in BAU Grid Electricity Consumption in 2050</t>
  </si>
  <si>
    <t>2040 BAU Disposed Waste Emissions (MT CO2e)</t>
  </si>
  <si>
    <t>2050 BAU Disposed Waste Emissions (MT CO2e)</t>
  </si>
  <si>
    <t>2040 Reduction Disposed Waste Emissions (MT CO2e)</t>
  </si>
  <si>
    <t>2050 Reduction Disposed Waste Emissions (MT CO2e)</t>
  </si>
  <si>
    <t>2040 Remaining Disposed Waste Emissions (MT CO2e)</t>
  </si>
  <si>
    <t>2050 Remaining Disposed Waste Emissions (MT CO2e)</t>
  </si>
  <si>
    <t>Trend 2045--&gt; 2050</t>
  </si>
  <si>
    <t>Trend 2040--&gt; 2045</t>
  </si>
  <si>
    <t>2045--&gt; 2050</t>
  </si>
  <si>
    <t xml:space="preserve"> (MTCO2e)</t>
  </si>
  <si>
    <t>2040 Target Year</t>
  </si>
  <si>
    <t>2050 Target Year</t>
  </si>
  <si>
    <t>Years from GHG Inventory --&gt; 2050</t>
  </si>
  <si>
    <t>Years from GHG Inventory --&gt; 2040</t>
  </si>
  <si>
    <t>Reduction in City's Emissions by 2040 (MT CO2e)</t>
  </si>
  <si>
    <t>Reduction in City's Emissions by 2050 (MT CO2e)</t>
  </si>
  <si>
    <t>2050 Target: 100% Below 2005</t>
  </si>
  <si>
    <t>2040 Target</t>
  </si>
  <si>
    <t>2030 --&gt; 2040 Growth Rate</t>
  </si>
  <si>
    <t>2045 --&gt; 2050 Growth Rate</t>
  </si>
  <si>
    <t>2040 BAU</t>
  </si>
  <si>
    <t>Annual Growth Rate:  2017--&gt;2020</t>
  </si>
  <si>
    <t>Annual Growth Rate: 2017--&gt;2030</t>
  </si>
  <si>
    <t>Annual Growth Rate: 2017--&gt;2040</t>
  </si>
  <si>
    <t>2040 BAU Activity Data</t>
  </si>
  <si>
    <t>2040 BAU Emissions (MT CO2e)</t>
  </si>
  <si>
    <t>2040 BAU Emission Factor (MT CO2e / Activity Data Unit)</t>
  </si>
  <si>
    <t>2040 Activity Data w/ State Measures</t>
  </si>
  <si>
    <t>2017 --&gt; 2040 % change carbon intensity</t>
  </si>
  <si>
    <t>2040 Emissions Avoided Non-RPS State Measures (MT CO2e)</t>
  </si>
  <si>
    <t>2040 Emission Factor w/ State Measures (MT CO2e)</t>
  </si>
  <si>
    <t>2040 Emissions Avoided RPS State Measure (MT CO2e)</t>
  </si>
  <si>
    <t>2040 BAU w/ State</t>
  </si>
  <si>
    <t>2040 Remaining Emissions w/ State Measures (MT CO2e)</t>
  </si>
  <si>
    <t>PCE Impact 2040</t>
  </si>
  <si>
    <t>2040 Emissions Avoided PCE (MT CO2e)</t>
  </si>
  <si>
    <t>2040 Remaining Emissions w/ State Measures + PCE (MT CO2e)</t>
  </si>
  <si>
    <t>2040 --&gt; 2045 Growth Rate</t>
  </si>
  <si>
    <t>2050 BAU Emissions in Applicable Sector (MT CO2e)</t>
  </si>
  <si>
    <t>2040 BAU Emissions in Applicable Sector (MT CO2e)</t>
  </si>
  <si>
    <t>% Reduction from 2040 BAU Emissions in Sector</t>
  </si>
  <si>
    <t>% Reduction from 2045 BAU Emissions in Sector</t>
  </si>
  <si>
    <t>% Reduction from 2050 BAU Emissions in Sector</t>
  </si>
  <si>
    <t>Annual Growth Rate: 2017--&gt;2050</t>
  </si>
  <si>
    <t>2050 BAU Activity Data</t>
  </si>
  <si>
    <t>2050 BAU Emissions (MT CO2e)</t>
  </si>
  <si>
    <t>2050 BAU Emission Factor (MT CO2e / Activity Data Unit)</t>
  </si>
  <si>
    <t>2050 Activity Data w/ State Measures</t>
  </si>
  <si>
    <t>Residential  New Construction Percent Reduction in BAU Grid Electricity Consumption in 2050</t>
  </si>
  <si>
    <t>2050 BAU w/ State</t>
  </si>
  <si>
    <t>2050 Emissions Avoided Non-RPS State Measures (MT CO2e)</t>
  </si>
  <si>
    <t>2050 Emission Factor w/ State Measures (MT CO2e)</t>
  </si>
  <si>
    <t>2050 Emissions Avoided RPS State Measure (MT CO2e)</t>
  </si>
  <si>
    <t>2045 Remaining Emissions w/ State Measures (MT CO2e)</t>
  </si>
  <si>
    <t>2050 Remaining Emissions w/ State Measures (MT CO2e)</t>
  </si>
  <si>
    <t>PCE Impact 2050</t>
  </si>
  <si>
    <t>2050 Emissions Avoided PCE (MT CO2e)</t>
  </si>
  <si>
    <t>2050 Remaining Emissions w/ State Measures + PCE (MT CO2e)</t>
  </si>
  <si>
    <t>2045 Increase in electricity consumption per decrease in diesel consumption (kWh/gallon)</t>
  </si>
  <si>
    <t>2017 --&gt; 2040 Annual Growth Rate</t>
  </si>
  <si>
    <t>2017 --&gt; 2045 Annual Growth Rate</t>
  </si>
  <si>
    <t>2017 --&gt; 2050 Annual Growth Rate</t>
  </si>
  <si>
    <t>2040 Emissions (MT CO2e)</t>
  </si>
  <si>
    <t>2045 Emissions (MT CO2e)</t>
  </si>
  <si>
    <t>2050 Emissions (MT CO2e)</t>
  </si>
  <si>
    <t>2040 Activity</t>
  </si>
  <si>
    <t>2045 Activity</t>
  </si>
  <si>
    <t>2050 Activity</t>
  </si>
  <si>
    <t>2040 Activity Data with State Measures</t>
  </si>
  <si>
    <t>2045 Activity Data with State Measures</t>
  </si>
  <si>
    <t>2050 Acitivity Data with State Measures</t>
  </si>
  <si>
    <t>2040 Emissions with State Measures</t>
  </si>
  <si>
    <t>2045 Emissions with State Measures</t>
  </si>
  <si>
    <t>2050 Emissions with State Measures</t>
  </si>
  <si>
    <t>Annual Growth Rate: 2017--&gt;2045</t>
  </si>
  <si>
    <t>20187--&gt; 2050 % change carbon intensity</t>
  </si>
  <si>
    <t>BAU Emissions Top Line</t>
  </si>
  <si>
    <t>BAU / State Measures Emissions Bottom Line</t>
  </si>
  <si>
    <t>State Measures Emissions Bottom Area</t>
  </si>
  <si>
    <t>Target Path Bottom Area</t>
  </si>
  <si>
    <t>Amin</t>
  </si>
  <si>
    <t>Amax</t>
  </si>
  <si>
    <t>Bmax</t>
  </si>
  <si>
    <t>Bmin</t>
  </si>
  <si>
    <t>Blank</t>
  </si>
  <si>
    <t>Bfill</t>
  </si>
  <si>
    <t>Bottom</t>
  </si>
  <si>
    <t>Afill</t>
  </si>
  <si>
    <t>Emissions Delta Target Emissions and State+PCE Measures Path</t>
  </si>
  <si>
    <t>Projected Reduction Path Bottom Line</t>
  </si>
  <si>
    <t>Cmax</t>
  </si>
  <si>
    <t>Cmin</t>
  </si>
  <si>
    <t>BAU w/ State Measures Top Line</t>
  </si>
  <si>
    <t>Blank 2</t>
  </si>
  <si>
    <t>Cfill</t>
  </si>
  <si>
    <t>State Measures + PCE Emissions Bottom Area</t>
  </si>
  <si>
    <t>Emissions Delta with BAU w/State Measures + PCE Path</t>
  </si>
  <si>
    <t>State Measures+PCE Top Line</t>
  </si>
  <si>
    <t>Emissions Delta with BAU w/State Measures</t>
  </si>
  <si>
    <t>Finish the third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</si>
</sst>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4" formatCode="_(&quot;$&quot;* #,##0.00_);_(&quot;$&quot;* \(#,##0.00\);_(&quot;$&quot;* &quot;-&quot;??_);_(@_)"/>
    <numFmt numFmtId="43" formatCode="_(* #,##0.00_);_(* \(#,##0.00\);_(* &quot;-&quot;??_);_(@_)"/>
    <numFmt numFmtId="164" formatCode="0.0%"/>
    <numFmt numFmtId="165" formatCode="0.0"/>
    <numFmt numFmtId="166" formatCode="#,##0.000"/>
    <numFmt numFmtId="167" formatCode="###0.00_)"/>
    <numFmt numFmtId="168" formatCode="0.0_W"/>
    <numFmt numFmtId="169" formatCode="General_)"/>
    <numFmt numFmtId="170" formatCode="0.000"/>
    <numFmt numFmtId="171" formatCode="0.000000"/>
    <numFmt numFmtId="172" formatCode="0.000%"/>
    <numFmt numFmtId="173" formatCode="0.0000000"/>
    <numFmt numFmtId="174" formatCode="#,##0.0"/>
    <numFmt numFmtId="175" formatCode="#,##0.00000"/>
    <numFmt numFmtId="176" formatCode="#,##0.0000000000"/>
    <numFmt numFmtId="177" formatCode="#,##0.0000"/>
    <numFmt numFmtId="178" formatCode="0.00000"/>
    <numFmt numFmtId="179" formatCode="#,##0.000000"/>
    <numFmt numFmtId="180" formatCode="#,##0.0000000"/>
  </numFmts>
  <fonts count="94">
    <font>
      <sz val="11"/>
      <color theme="1"/>
      <name val="Arial"/>
      <family val="2"/>
      <scheme val="minor"/>
    </font>
    <font>
      <sz val="10"/>
      <name val="Arial"/>
      <family val="2"/>
    </font>
    <font>
      <sz val="10"/>
      <name val="Tahoma"/>
      <family val="2"/>
    </font>
    <font>
      <sz val="10"/>
      <name val="Arial"/>
      <family val="2"/>
    </font>
    <font>
      <sz val="12"/>
      <name val="Times New Roman"/>
      <family val="1"/>
    </font>
    <font>
      <sz val="11"/>
      <color theme="1"/>
      <name val="Arial"/>
      <family val="2"/>
      <scheme val="minor"/>
    </font>
    <font>
      <b/>
      <sz val="11"/>
      <color theme="1"/>
      <name val="Arial"/>
      <family val="2"/>
      <scheme val="minor"/>
    </font>
    <font>
      <sz val="10"/>
      <name val="Arial"/>
      <family val="2"/>
    </font>
    <font>
      <sz val="11"/>
      <color indexed="8"/>
      <name val="Helvetica Neue"/>
    </font>
    <font>
      <b/>
      <sz val="12"/>
      <name val="Arial"/>
      <family val="2"/>
      <scheme val="minor"/>
    </font>
    <font>
      <sz val="12"/>
      <name val="Arial"/>
      <family val="2"/>
      <scheme val="minor"/>
    </font>
    <font>
      <sz val="10"/>
      <color rgb="FF9C0006"/>
      <name val="Arial"/>
      <family val="2"/>
    </font>
    <font>
      <sz val="10"/>
      <color theme="1"/>
      <name val="Calibri"/>
      <family val="2"/>
    </font>
    <font>
      <sz val="11"/>
      <name val="Arial"/>
      <family val="2"/>
      <scheme val="minor"/>
    </font>
    <font>
      <sz val="10"/>
      <color theme="0"/>
      <name val="Calibri"/>
      <family val="2"/>
    </font>
    <font>
      <sz val="11"/>
      <color indexed="8"/>
      <name val="Calibri"/>
      <family val="2"/>
    </font>
    <font>
      <u/>
      <sz val="10"/>
      <color theme="10"/>
      <name val="Calibri"/>
      <family val="2"/>
    </font>
    <font>
      <u/>
      <sz val="10"/>
      <color indexed="12"/>
      <name val="Arial"/>
      <family val="2"/>
    </font>
    <font>
      <sz val="10"/>
      <name val="Arial"/>
      <family val="2"/>
    </font>
    <font>
      <sz val="11"/>
      <color rgb="FF000000"/>
      <name val="Arial"/>
      <family val="2"/>
      <scheme val="minor"/>
    </font>
    <font>
      <u/>
      <sz val="11"/>
      <color theme="10"/>
      <name val="Arial"/>
      <family val="2"/>
      <scheme val="minor"/>
    </font>
    <font>
      <b/>
      <sz val="11"/>
      <color theme="0"/>
      <name val="Arial"/>
      <family val="2"/>
      <scheme val="minor"/>
    </font>
    <font>
      <sz val="11"/>
      <color theme="0"/>
      <name val="Arial"/>
      <family val="2"/>
      <scheme val="minor"/>
    </font>
    <font>
      <b/>
      <sz val="14"/>
      <color theme="0"/>
      <name val="Arial"/>
      <family val="2"/>
      <scheme val="minor"/>
    </font>
    <font>
      <sz val="14"/>
      <color theme="0"/>
      <name val="Arial"/>
      <family val="2"/>
      <scheme val="minor"/>
    </font>
    <font>
      <b/>
      <sz val="11"/>
      <name val="Arial"/>
      <family val="2"/>
      <scheme val="minor"/>
    </font>
    <font>
      <b/>
      <sz val="12"/>
      <color theme="1"/>
      <name val="Arial"/>
      <family val="2"/>
      <scheme val="minor"/>
    </font>
    <font>
      <b/>
      <sz val="11"/>
      <color rgb="FFFFFFFF"/>
      <name val="Arial"/>
      <family val="2"/>
      <scheme val="minor"/>
    </font>
    <font>
      <b/>
      <vertAlign val="subscript"/>
      <sz val="11"/>
      <color rgb="FFFFFFFF"/>
      <name val="Arial"/>
      <family val="2"/>
      <scheme val="minor"/>
    </font>
    <font>
      <sz val="12"/>
      <color theme="1"/>
      <name val="Arial"/>
      <family val="2"/>
      <scheme val="minor"/>
    </font>
    <font>
      <b/>
      <sz val="12"/>
      <color rgb="FFFFFFFF"/>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u/>
      <sz val="9.9"/>
      <color theme="10"/>
      <name val="Calibri"/>
      <family val="2"/>
    </font>
    <font>
      <b/>
      <sz val="11"/>
      <color indexed="8"/>
      <name val="Calibri"/>
      <family val="2"/>
    </font>
    <font>
      <u/>
      <sz val="7.5"/>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theme="1"/>
      <name val="Arial"/>
      <family val="2"/>
    </font>
    <font>
      <sz val="9"/>
      <name val="Helv"/>
    </font>
    <font>
      <vertAlign val="superscript"/>
      <sz val="12"/>
      <name val="Helv"/>
    </font>
    <font>
      <sz val="10"/>
      <name val="Helv"/>
    </font>
    <font>
      <b/>
      <sz val="9"/>
      <name val="Helv"/>
    </font>
    <font>
      <b/>
      <sz val="10"/>
      <name val="Helv"/>
    </font>
    <font>
      <sz val="9"/>
      <name val="Geneva"/>
    </font>
    <font>
      <sz val="12"/>
      <name val="Helv"/>
    </font>
    <font>
      <sz val="8"/>
      <name val="Helv"/>
    </font>
    <font>
      <b/>
      <sz val="14"/>
      <name val="Helv"/>
    </font>
    <font>
      <b/>
      <sz val="12"/>
      <name val="Helv"/>
    </font>
    <font>
      <sz val="9"/>
      <color indexed="81"/>
      <name val="Tahoma"/>
      <family val="2"/>
    </font>
    <font>
      <b/>
      <sz val="9"/>
      <color indexed="81"/>
      <name val="Tahoma"/>
      <family val="2"/>
    </font>
    <font>
      <sz val="9"/>
      <color theme="1"/>
      <name val="Arial"/>
      <family val="2"/>
      <scheme val="minor"/>
    </font>
    <font>
      <b/>
      <sz val="16"/>
      <color theme="1"/>
      <name val="Arial"/>
      <family val="2"/>
      <scheme val="minor"/>
    </font>
    <font>
      <b/>
      <sz val="14"/>
      <color rgb="FFFFFFFF"/>
      <name val="Calibri"/>
      <family val="2"/>
    </font>
    <font>
      <b/>
      <sz val="11"/>
      <color indexed="9"/>
      <name val="Arial"/>
      <family val="2"/>
      <scheme val="minor"/>
    </font>
    <font>
      <sz val="11"/>
      <color theme="1"/>
      <name val="Calibri"/>
      <family val="2"/>
    </font>
    <font>
      <b/>
      <sz val="12"/>
      <color rgb="FF000000"/>
      <name val="Calibri"/>
      <family val="2"/>
    </font>
    <font>
      <b/>
      <sz val="11"/>
      <color rgb="FF000000"/>
      <name val="Calibri"/>
      <family val="2"/>
    </font>
    <font>
      <b/>
      <sz val="11"/>
      <color theme="1"/>
      <name val="Calibri"/>
      <family val="2"/>
    </font>
    <font>
      <b/>
      <vertAlign val="subscript"/>
      <sz val="11"/>
      <color theme="1"/>
      <name val="Arial"/>
      <family val="2"/>
      <scheme val="minor"/>
    </font>
    <font>
      <b/>
      <vertAlign val="subscript"/>
      <sz val="11"/>
      <color indexed="9"/>
      <name val="Arial"/>
      <family val="2"/>
      <scheme val="minor"/>
    </font>
    <font>
      <sz val="11"/>
      <name val="Times New Roman"/>
      <family val="1"/>
    </font>
    <font>
      <sz val="9"/>
      <name val="Arial"/>
      <family val="2"/>
      <scheme val="minor"/>
    </font>
    <font>
      <u/>
      <sz val="10"/>
      <color theme="10"/>
      <name val="Arial"/>
      <family val="2"/>
      <scheme val="minor"/>
    </font>
    <font>
      <sz val="10"/>
      <color theme="1"/>
      <name val="Arial"/>
      <family val="2"/>
      <scheme val="minor"/>
    </font>
    <font>
      <sz val="8"/>
      <name val="Arial"/>
      <family val="2"/>
      <scheme val="minor"/>
    </font>
    <font>
      <b/>
      <sz val="10"/>
      <color theme="0"/>
      <name val="Tahoma"/>
      <family val="2"/>
    </font>
    <font>
      <sz val="12"/>
      <color theme="6" tint="-0.249977111117893"/>
      <name val="Times New Roman"/>
      <family val="1"/>
    </font>
    <font>
      <b/>
      <sz val="10"/>
      <name val="Arial"/>
      <family val="2"/>
      <scheme val="minor"/>
    </font>
    <font>
      <sz val="10"/>
      <name val="Arial"/>
      <family val="2"/>
      <scheme val="minor"/>
    </font>
  </fonts>
  <fills count="8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C7CE"/>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FF66"/>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9"/>
      </patternFill>
    </fill>
    <fill>
      <patternFill patternType="solid">
        <fgColor indexed="22"/>
        <bgColor indexed="55"/>
      </patternFill>
    </fill>
    <fill>
      <patternFill patternType="solid">
        <fgColor theme="5" tint="0.79998168889431442"/>
        <bgColor indexed="64"/>
      </patternFill>
    </fill>
    <fill>
      <patternFill patternType="solid">
        <fgColor theme="6" tint="0.79998168889431442"/>
        <bgColor indexed="64"/>
      </patternFill>
    </fill>
    <fill>
      <patternFill patternType="solid">
        <fgColor rgb="FF538DD5"/>
        <bgColor rgb="FF000000"/>
      </patternFill>
    </fill>
    <fill>
      <patternFill patternType="solid">
        <fgColor rgb="FFCCC0DA"/>
        <bgColor rgb="FF000000"/>
      </patternFill>
    </fill>
    <fill>
      <patternFill patternType="solid">
        <fgColor rgb="FFF2DCDB"/>
        <bgColor rgb="FF000000"/>
      </patternFill>
    </fill>
    <fill>
      <patternFill patternType="solid">
        <fgColor rgb="FFEBF1DE"/>
        <bgColor rgb="FF000000"/>
      </patternFill>
    </fill>
    <fill>
      <patternFill patternType="solid">
        <fgColor rgb="FFC4D79B"/>
        <bgColor rgb="FF000000"/>
      </patternFill>
    </fill>
    <fill>
      <patternFill patternType="solid">
        <fgColor rgb="FFBFBFBF"/>
        <bgColor rgb="FF000000"/>
      </patternFill>
    </fill>
    <fill>
      <patternFill patternType="solid">
        <fgColor theme="6" tint="0.39997558519241921"/>
        <bgColor rgb="FF000000"/>
      </patternFill>
    </fill>
    <fill>
      <patternFill patternType="solid">
        <fgColor theme="4" tint="0.59999389629810485"/>
        <bgColor rgb="FF000000"/>
      </patternFill>
    </fill>
    <fill>
      <patternFill patternType="solid">
        <fgColor theme="0" tint="-0.249977111117893"/>
        <bgColor rgb="FF000000"/>
      </patternFill>
    </fill>
    <fill>
      <patternFill patternType="solid">
        <fgColor theme="9"/>
        <bgColor indexed="64"/>
      </patternFill>
    </fill>
    <fill>
      <patternFill patternType="solid">
        <fgColor theme="4"/>
        <bgColor indexed="64"/>
      </patternFill>
    </fill>
    <fill>
      <patternFill patternType="solid">
        <fgColor theme="6" tint="-0.249977111117893"/>
        <bgColor indexed="64"/>
      </patternFill>
    </fill>
    <fill>
      <patternFill patternType="solid">
        <fgColor theme="6"/>
        <bgColor indexed="64"/>
      </patternFill>
    </fill>
    <fill>
      <patternFill patternType="solid">
        <fgColor theme="6" tint="-0.499984740745262"/>
        <bgColor indexed="64"/>
      </patternFill>
    </fill>
    <fill>
      <patternFill patternType="solid">
        <fgColor theme="5" tint="0.59999389629810485"/>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22"/>
      </bottom>
      <diagonal/>
    </border>
    <border>
      <left/>
      <right/>
      <top/>
      <bottom style="hair">
        <color indexed="8"/>
      </bottom>
      <diagonal/>
    </border>
    <border>
      <left/>
      <right/>
      <top/>
      <bottom style="medium">
        <color indexed="30"/>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top style="thin">
        <color indexed="64"/>
      </top>
      <bottom style="medium">
        <color indexed="64"/>
      </bottom>
      <diagonal/>
    </border>
    <border>
      <left style="medium">
        <color auto="1"/>
      </left>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style="thin">
        <color auto="1"/>
      </right>
      <top style="hair">
        <color indexed="64"/>
      </top>
      <bottom style="medium">
        <color auto="1"/>
      </bottom>
      <diagonal/>
    </border>
    <border>
      <left style="thin">
        <color auto="1"/>
      </left>
      <right style="thin">
        <color auto="1"/>
      </right>
      <top style="hair">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diagonal/>
    </border>
    <border>
      <left style="thin">
        <color indexed="64"/>
      </left>
      <right style="medium">
        <color indexed="64"/>
      </right>
      <top style="thin">
        <color auto="1"/>
      </top>
      <bottom/>
      <diagonal/>
    </border>
    <border>
      <left style="thin">
        <color indexed="64"/>
      </left>
      <right style="thin">
        <color indexed="64"/>
      </right>
      <top style="medium">
        <color indexed="64"/>
      </top>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auto="1"/>
      </left>
      <right style="medium">
        <color auto="1"/>
      </right>
      <top style="thin">
        <color auto="1"/>
      </top>
      <bottom/>
      <diagonal/>
    </border>
    <border>
      <left/>
      <right style="thin">
        <color indexed="64"/>
      </right>
      <top style="thin">
        <color indexed="64"/>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diagonal/>
    </border>
    <border>
      <left/>
      <right/>
      <top/>
      <bottom style="thin">
        <color indexed="64"/>
      </bottom>
      <diagonal/>
    </border>
    <border>
      <left/>
      <right/>
      <top style="thin">
        <color auto="1"/>
      </top>
      <bottom/>
      <diagonal/>
    </border>
    <border>
      <left style="medium">
        <color auto="1"/>
      </left>
      <right style="thin">
        <color auto="1"/>
      </right>
      <top/>
      <bottom style="thin">
        <color auto="1"/>
      </bottom>
      <diagonal/>
    </border>
    <border>
      <left style="thin">
        <color indexed="64"/>
      </left>
      <right style="medium">
        <color indexed="64"/>
      </right>
      <top/>
      <bottom style="thin">
        <color auto="1"/>
      </bottom>
      <diagonal/>
    </border>
    <border>
      <left style="thin">
        <color indexed="64"/>
      </left>
      <right style="thin">
        <color indexed="64"/>
      </right>
      <top/>
      <bottom style="thin">
        <color auto="1"/>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auto="1"/>
      </top>
      <bottom style="medium">
        <color auto="1"/>
      </bottom>
      <diagonal/>
    </border>
    <border>
      <left style="thin">
        <color indexed="64"/>
      </left>
      <right style="thin">
        <color indexed="64"/>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auto="1"/>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medium">
        <color indexed="64"/>
      </left>
      <right style="thin">
        <color theme="0"/>
      </right>
      <top style="medium">
        <color indexed="64"/>
      </top>
      <bottom style="thin">
        <color theme="0"/>
      </bottom>
      <diagonal/>
    </border>
    <border>
      <left style="medium">
        <color theme="0"/>
      </left>
      <right style="medium">
        <color theme="0"/>
      </right>
      <top style="medium">
        <color indexed="64"/>
      </top>
      <bottom style="thin">
        <color theme="0"/>
      </bottom>
      <diagonal/>
    </border>
    <border>
      <left style="thin">
        <color theme="0"/>
      </left>
      <right/>
      <top style="medium">
        <color indexed="64"/>
      </top>
      <bottom style="thin">
        <color theme="0"/>
      </bottom>
      <diagonal/>
    </border>
    <border>
      <left/>
      <right/>
      <top/>
      <bottom style="medium">
        <color auto="1"/>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bottom style="thin">
        <color auto="1"/>
      </bottom>
      <diagonal/>
    </border>
    <border>
      <left/>
      <right/>
      <top/>
      <bottom style="thin">
        <color indexed="64"/>
      </bottom>
      <diagonal/>
    </border>
    <border>
      <left/>
      <right style="medium">
        <color indexed="64"/>
      </right>
      <top/>
      <bottom style="thin">
        <color indexed="64"/>
      </bottom>
      <diagonal/>
    </border>
  </borders>
  <cellStyleXfs count="2311">
    <xf numFmtId="0" fontId="0" fillId="0" borderId="0"/>
    <xf numFmtId="0" fontId="1" fillId="0" borderId="0"/>
    <xf numFmtId="0" fontId="3" fillId="0" borderId="0"/>
    <xf numFmtId="9"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7" fillId="0" borderId="0"/>
    <xf numFmtId="0" fontId="8" fillId="0" borderId="0" applyNumberFormat="0" applyFill="0" applyBorder="0" applyProtection="0">
      <alignment vertical="top"/>
    </xf>
    <xf numFmtId="0" fontId="1" fillId="0" borderId="0"/>
    <xf numFmtId="0" fontId="1" fillId="0" borderId="0"/>
    <xf numFmtId="0" fontId="11" fillId="7" borderId="0" applyNumberFormat="0" applyBorder="0" applyAlignment="0" applyProtection="0"/>
    <xf numFmtId="43" fontId="5" fillId="0" borderId="0" applyFont="0" applyFill="0" applyBorder="0" applyAlignment="0" applyProtection="0"/>
    <xf numFmtId="0" fontId="5" fillId="0" borderId="0"/>
    <xf numFmtId="0" fontId="12" fillId="0" borderId="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14" fillId="9" borderId="0" applyNumberFormat="0" applyBorder="0" applyAlignment="0" applyProtection="0"/>
    <xf numFmtId="43" fontId="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5" fillId="0" borderId="0"/>
    <xf numFmtId="0" fontId="5" fillId="0" borderId="0"/>
    <xf numFmtId="0" fontId="5" fillId="0" borderId="0"/>
    <xf numFmtId="0"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5" fillId="0" borderId="0"/>
    <xf numFmtId="0" fontId="5" fillId="0" borderId="0"/>
    <xf numFmtId="0" fontId="5" fillId="0" borderId="0"/>
    <xf numFmtId="0" fontId="19" fillId="0" borderId="0"/>
    <xf numFmtId="0" fontId="5" fillId="0" borderId="0"/>
    <xf numFmtId="0" fontId="5" fillId="8" borderId="4" applyNumberFormat="0" applyFont="0" applyAlignment="0" applyProtection="0"/>
    <xf numFmtId="0" fontId="5" fillId="8" borderId="4" applyNumberFormat="0" applyFont="0" applyAlignment="0" applyProtection="0"/>
    <xf numFmtId="0" fontId="5" fillId="8" borderId="4" applyNumberFormat="0" applyFont="0" applyAlignment="0" applyProtection="0"/>
    <xf numFmtId="0" fontId="5" fillId="8" borderId="4" applyNumberFormat="0" applyFon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32" fillId="0" borderId="37" applyNumberFormat="0" applyFill="0" applyAlignment="0" applyProtection="0"/>
    <xf numFmtId="0" fontId="33" fillId="0" borderId="38" applyNumberFormat="0" applyFill="0" applyAlignment="0" applyProtection="0"/>
    <xf numFmtId="0" fontId="34" fillId="0" borderId="39"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7" borderId="0" applyNumberFormat="0" applyBorder="0" applyAlignment="0" applyProtection="0"/>
    <xf numFmtId="0" fontId="37" fillId="31" borderId="0" applyNumberFormat="0" applyBorder="0" applyAlignment="0" applyProtection="0"/>
    <xf numFmtId="0" fontId="38" fillId="32" borderId="40" applyNumberFormat="0" applyAlignment="0" applyProtection="0"/>
    <xf numFmtId="0" fontId="39" fillId="33" borderId="41" applyNumberFormat="0" applyAlignment="0" applyProtection="0"/>
    <xf numFmtId="0" fontId="40" fillId="33" borderId="40" applyNumberFormat="0" applyAlignment="0" applyProtection="0"/>
    <xf numFmtId="0" fontId="41" fillId="0" borderId="42" applyNumberFormat="0" applyFill="0" applyAlignment="0" applyProtection="0"/>
    <xf numFmtId="0" fontId="21" fillId="34" borderId="4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44" applyNumberFormat="0" applyFill="0" applyAlignment="0" applyProtection="0"/>
    <xf numFmtId="0" fontId="2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2" fillId="45" borderId="0" applyNumberFormat="0" applyBorder="0" applyAlignment="0" applyProtection="0"/>
    <xf numFmtId="0" fontId="44" fillId="0" borderId="0" applyNumberFormat="0" applyFill="0" applyBorder="0" applyAlignment="0" applyProtection="0">
      <alignment vertical="top"/>
      <protection locked="0"/>
    </xf>
    <xf numFmtId="9" fontId="15" fillId="0" borderId="0" applyFont="0" applyFill="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5" fillId="49" borderId="0" applyNumberFormat="0" applyBorder="0" applyAlignment="0" applyProtection="0"/>
    <xf numFmtId="0" fontId="15" fillId="52" borderId="0" applyNumberFormat="0" applyBorder="0" applyAlignment="0" applyProtection="0"/>
    <xf numFmtId="0" fontId="15" fillId="55" borderId="0" applyNumberFormat="0" applyBorder="0" applyAlignment="0" applyProtection="0"/>
    <xf numFmtId="0" fontId="47" fillId="56"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59" borderId="0" applyNumberFormat="0" applyBorder="0" applyAlignment="0" applyProtection="0"/>
    <xf numFmtId="0" fontId="47" fillId="60"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47" fillId="57" borderId="0" applyNumberFormat="0" applyBorder="0" applyAlignment="0" applyProtection="0"/>
    <xf numFmtId="0" fontId="47" fillId="58" borderId="0" applyNumberFormat="0" applyBorder="0" applyAlignment="0" applyProtection="0"/>
    <xf numFmtId="0" fontId="47" fillId="63" borderId="0" applyNumberFormat="0" applyBorder="0" applyAlignment="0" applyProtection="0"/>
    <xf numFmtId="0" fontId="48" fillId="47" borderId="0" applyNumberFormat="0" applyBorder="0" applyAlignment="0" applyProtection="0"/>
    <xf numFmtId="0" fontId="49" fillId="64" borderId="45" applyNumberFormat="0" applyAlignment="0" applyProtection="0"/>
    <xf numFmtId="0" fontId="50" fillId="65" borderId="46" applyNumberFormat="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applyNumberFormat="0" applyFill="0" applyBorder="0" applyAlignment="0" applyProtection="0"/>
    <xf numFmtId="0" fontId="52" fillId="48" borderId="0" applyNumberFormat="0" applyBorder="0" applyAlignment="0" applyProtection="0"/>
    <xf numFmtId="0" fontId="53" fillId="0" borderId="47" applyNumberFormat="0" applyFill="0" applyAlignment="0" applyProtection="0"/>
    <xf numFmtId="0" fontId="54" fillId="0" borderId="48" applyNumberFormat="0" applyFill="0" applyAlignment="0" applyProtection="0"/>
    <xf numFmtId="0" fontId="55" fillId="0" borderId="49" applyNumberFormat="0" applyFill="0" applyAlignment="0" applyProtection="0"/>
    <xf numFmtId="0" fontId="55" fillId="0" borderId="0" applyNumberFormat="0" applyFill="0" applyBorder="0" applyAlignment="0" applyProtection="0"/>
    <xf numFmtId="0" fontId="56" fillId="51" borderId="45" applyNumberFormat="0" applyAlignment="0" applyProtection="0"/>
    <xf numFmtId="0" fontId="57" fillId="0" borderId="50" applyNumberFormat="0" applyFill="0" applyAlignment="0" applyProtection="0"/>
    <xf numFmtId="0" fontId="58" fillId="66" borderId="0" applyNumberFormat="0" applyBorder="0" applyAlignment="0" applyProtection="0"/>
    <xf numFmtId="0" fontId="1" fillId="0" borderId="0"/>
    <xf numFmtId="0" fontId="1" fillId="67" borderId="51" applyNumberFormat="0" applyFont="0" applyAlignment="0" applyProtection="0"/>
    <xf numFmtId="0" fontId="59" fillId="64" borderId="52" applyNumberFormat="0" applyAlignment="0" applyProtection="0"/>
    <xf numFmtId="9" fontId="15"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xf numFmtId="0" fontId="45" fillId="0" borderId="53" applyNumberFormat="0" applyFill="0" applyAlignment="0" applyProtection="0"/>
    <xf numFmtId="0" fontId="61" fillId="0" borderId="0" applyNumberFormat="0" applyFill="0" applyBorder="0" applyAlignment="0" applyProtection="0"/>
    <xf numFmtId="0" fontId="46" fillId="0" borderId="0" applyNumberFormat="0" applyFill="0" applyBorder="0" applyAlignment="0" applyProtection="0">
      <alignment vertical="top"/>
      <protection locked="0"/>
    </xf>
    <xf numFmtId="0" fontId="11" fillId="7" borderId="0" applyNumberFormat="0" applyBorder="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0" fontId="49" fillId="64" borderId="45" applyNumberFormat="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3" fontId="63" fillId="0" borderId="54" applyAlignment="0">
      <alignment horizontal="right" vertical="center"/>
    </xf>
    <xf numFmtId="3" fontId="63" fillId="0" borderId="54" applyAlignment="0">
      <alignment horizontal="right" vertical="center"/>
    </xf>
    <xf numFmtId="49" fontId="64" fillId="0" borderId="54">
      <alignment horizontal="left" vertical="center"/>
    </xf>
    <xf numFmtId="49" fontId="64" fillId="0" borderId="54">
      <alignment horizontal="left" vertical="center"/>
    </xf>
    <xf numFmtId="167" fontId="65" fillId="0" borderId="55" applyNumberFormat="0">
      <alignment horizontal="right" vertical="center"/>
    </xf>
    <xf numFmtId="168" fontId="65" fillId="0" borderId="54">
      <alignment horizontal="right"/>
    </xf>
    <xf numFmtId="168" fontId="65" fillId="0" borderId="54">
      <alignment horizontal="right"/>
    </xf>
    <xf numFmtId="0" fontId="55" fillId="0" borderId="56" applyNumberFormat="0" applyFill="0" applyAlignment="0" applyProtection="0"/>
    <xf numFmtId="0" fontId="66" fillId="0" borderId="54">
      <alignment horizontal="left"/>
    </xf>
    <xf numFmtId="0" fontId="66" fillId="0" borderId="54">
      <alignment horizontal="left"/>
    </xf>
    <xf numFmtId="0" fontId="66" fillId="0" borderId="57">
      <alignment horizontal="right" vertical="center"/>
    </xf>
    <xf numFmtId="0" fontId="65" fillId="0" borderId="54">
      <alignment horizontal="left" vertical="center"/>
    </xf>
    <xf numFmtId="0" fontId="65" fillId="0" borderId="54">
      <alignment horizontal="left" vertical="center"/>
    </xf>
    <xf numFmtId="0" fontId="67" fillId="0" borderId="57">
      <alignment horizontal="left" vertical="center"/>
    </xf>
    <xf numFmtId="0" fontId="67" fillId="68" borderId="0">
      <alignment horizontal="centerContinuous" wrapText="1"/>
    </xf>
    <xf numFmtId="0" fontId="44" fillId="0" borderId="0" applyNumberFormat="0" applyFill="0" applyBorder="0" applyAlignment="0" applyProtection="0">
      <alignment vertical="top"/>
      <protection locked="0"/>
    </xf>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56" fillId="51" borderId="45" applyNumberFormat="0" applyAlignment="0" applyProtection="0"/>
    <xf numFmtId="0" fontId="68" fillId="0" borderId="0"/>
    <xf numFmtId="0" fontId="29" fillId="0" borderId="0"/>
    <xf numFmtId="0" fontId="62" fillId="0" borderId="0"/>
    <xf numFmtId="0" fontId="69" fillId="0" borderId="0"/>
    <xf numFmtId="0" fontId="1" fillId="0" borderId="0"/>
    <xf numFmtId="169" fontId="70" fillId="0" borderId="0"/>
    <xf numFmtId="0" fontId="1" fillId="0" borderId="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1" fillId="67" borderId="51" applyNumberFormat="0" applyFon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0" fontId="59" fillId="64" borderId="52" applyNumberFormat="0" applyAlignment="0" applyProtection="0"/>
    <xf numFmtId="9" fontId="5" fillId="0" borderId="0" applyFont="0" applyFill="0" applyBorder="0" applyAlignment="0" applyProtection="0"/>
    <xf numFmtId="0" fontId="70" fillId="0" borderId="0">
      <alignment horizontal="right"/>
    </xf>
    <xf numFmtId="0" fontId="64" fillId="0" borderId="0">
      <alignment horizontal="right"/>
    </xf>
    <xf numFmtId="0" fontId="70" fillId="0" borderId="0">
      <alignment horizontal="left"/>
    </xf>
    <xf numFmtId="49" fontId="64" fillId="0" borderId="54">
      <alignment horizontal="left" vertical="center"/>
    </xf>
    <xf numFmtId="49" fontId="64" fillId="0" borderId="54">
      <alignment horizontal="left" vertical="center"/>
    </xf>
    <xf numFmtId="49" fontId="69" fillId="0" borderId="54" applyFill="0">
      <alignment horizontal="left" vertical="center"/>
    </xf>
    <xf numFmtId="49" fontId="69" fillId="0" borderId="54" applyFill="0">
      <alignment horizontal="left" vertical="center"/>
    </xf>
    <xf numFmtId="49" fontId="64" fillId="0" borderId="57">
      <alignment horizontal="left" vertical="center"/>
    </xf>
    <xf numFmtId="167" fontId="63" fillId="0" borderId="0" applyNumberFormat="0">
      <alignment horizontal="right"/>
    </xf>
    <xf numFmtId="0" fontId="66" fillId="69" borderId="0">
      <alignment horizontal="centerContinuous" vertical="center" wrapText="1"/>
    </xf>
    <xf numFmtId="0" fontId="66" fillId="0" borderId="55">
      <alignment horizontal="left" vertical="center"/>
    </xf>
    <xf numFmtId="0" fontId="71" fillId="0" borderId="0">
      <alignment horizontal="left" vertical="top"/>
    </xf>
    <xf numFmtId="0" fontId="67" fillId="0" borderId="0">
      <alignment horizontal="left"/>
    </xf>
    <xf numFmtId="0" fontId="72" fillId="0" borderId="0">
      <alignment horizontal="left"/>
    </xf>
    <xf numFmtId="0" fontId="65" fillId="0" borderId="0">
      <alignment horizontal="left"/>
    </xf>
    <xf numFmtId="0" fontId="71" fillId="0" borderId="0">
      <alignment horizontal="left" vertical="top"/>
    </xf>
    <xf numFmtId="0" fontId="72" fillId="0" borderId="0">
      <alignment horizontal="left"/>
    </xf>
    <xf numFmtId="0" fontId="65" fillId="0" borderId="0">
      <alignment horizontal="left"/>
    </xf>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0" fontId="45" fillId="0" borderId="53" applyNumberFormat="0" applyFill="0" applyAlignment="0" applyProtection="0"/>
    <xf numFmtId="49" fontId="63" fillId="0" borderId="54">
      <alignment horizontal="left"/>
    </xf>
    <xf numFmtId="49" fontId="63" fillId="0" borderId="54">
      <alignment horizontal="left"/>
    </xf>
    <xf numFmtId="0" fontId="66" fillId="0" borderId="57">
      <alignment horizontal="left"/>
    </xf>
    <xf numFmtId="0" fontId="67" fillId="0" borderId="0">
      <alignment horizontal="left" vertical="center"/>
    </xf>
    <xf numFmtId="43" fontId="5" fillId="0" borderId="0" applyFont="0" applyFill="0" applyBorder="0" applyAlignment="0" applyProtection="0"/>
    <xf numFmtId="0" fontId="5" fillId="0" borderId="0"/>
    <xf numFmtId="0" fontId="19" fillId="0" borderId="0"/>
    <xf numFmtId="0" fontId="5" fillId="0" borderId="0"/>
    <xf numFmtId="0" fontId="5" fillId="21"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0" borderId="0"/>
    <xf numFmtId="0" fontId="5" fillId="8" borderId="4" applyNumberFormat="0" applyFont="0" applyAlignment="0" applyProtection="0"/>
    <xf numFmtId="0" fontId="14" fillId="9" borderId="0" applyNumberFormat="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49" fillId="64"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6" fillId="0" borderId="57">
      <alignment horizontal="right" vertical="center"/>
    </xf>
    <xf numFmtId="0" fontId="65" fillId="0" borderId="54">
      <alignment horizontal="left" vertical="center"/>
    </xf>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49" fontId="64" fillId="0" borderId="54">
      <alignment horizontal="left" vertical="center"/>
    </xf>
    <xf numFmtId="49" fontId="69" fillId="0" borderId="54" applyFill="0">
      <alignment horizontal="left" vertical="center"/>
    </xf>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49" fontId="63" fillId="0" borderId="54">
      <alignment horizontal="left"/>
    </xf>
    <xf numFmtId="0" fontId="66" fillId="0" borderId="57">
      <alignment horizontal="left"/>
    </xf>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5" fillId="0" borderId="49" applyNumberFormat="0" applyFill="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59" fillId="64" borderId="60" applyNumberFormat="0" applyAlignment="0" applyProtection="0"/>
    <xf numFmtId="0" fontId="56" fillId="51" borderId="5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49" fillId="64" borderId="58"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59" fillId="64" borderId="60"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59" fillId="64" borderId="60"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1" fillId="67" borderId="59" applyNumberFormat="0" applyFon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1" fillId="0" borderId="0"/>
    <xf numFmtId="0" fontId="8" fillId="0" borderId="0" applyNumberFormat="0" applyFill="0" applyBorder="0" applyProtection="0">
      <alignment vertical="top"/>
    </xf>
    <xf numFmtId="0" fontId="1" fillId="0" borderId="0"/>
    <xf numFmtId="43" fontId="5" fillId="0" borderId="0" applyFont="0" applyFill="0" applyBorder="0" applyAlignment="0" applyProtection="0"/>
    <xf numFmtId="0" fontId="5" fillId="0" borderId="0"/>
    <xf numFmtId="0" fontId="17" fillId="0" borderId="0" applyNumberFormat="0" applyFill="0" applyBorder="0" applyAlignment="0" applyProtection="0">
      <alignment vertical="top"/>
      <protection locked="0"/>
    </xf>
    <xf numFmtId="0" fontId="1" fillId="0" borderId="0"/>
    <xf numFmtId="0" fontId="49" fillId="64" borderId="58" applyNumberFormat="0" applyAlignment="0" applyProtection="0"/>
    <xf numFmtId="0" fontId="55" fillId="0" borderId="56" applyNumberFormat="0" applyFill="0" applyAlignment="0" applyProtection="0"/>
    <xf numFmtId="0" fontId="56" fillId="51"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5" fillId="0" borderId="56" applyNumberFormat="0" applyFill="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59" fillId="64" borderId="60" applyNumberFormat="0" applyAlignment="0" applyProtection="0"/>
    <xf numFmtId="0" fontId="56" fillId="51" borderId="5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49" fillId="64" borderId="58"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59" fillId="64" borderId="60"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59" fillId="64" borderId="60"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1" fillId="67" borderId="59" applyNumberFormat="0" applyFon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3" fontId="63" fillId="0" borderId="54" applyAlignment="0">
      <alignment horizontal="right" vertical="center"/>
    </xf>
    <xf numFmtId="49" fontId="64" fillId="0" borderId="54">
      <alignment horizontal="left" vertical="center"/>
    </xf>
    <xf numFmtId="168" fontId="65" fillId="0" borderId="54">
      <alignment horizontal="right"/>
    </xf>
    <xf numFmtId="0" fontId="55" fillId="0" borderId="56" applyNumberFormat="0" applyFill="0" applyAlignment="0" applyProtection="0"/>
    <xf numFmtId="0" fontId="66" fillId="0" borderId="54">
      <alignment horizontal="left"/>
    </xf>
    <xf numFmtId="0" fontId="65" fillId="0" borderId="54">
      <alignment horizontal="left" vertical="center"/>
    </xf>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49" fontId="64" fillId="0" borderId="54">
      <alignment horizontal="left" vertical="center"/>
    </xf>
    <xf numFmtId="49" fontId="69" fillId="0" borderId="54" applyFill="0">
      <alignment horizontal="left" vertical="center"/>
    </xf>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 fillId="0" borderId="0"/>
    <xf numFmtId="0" fontId="1" fillId="0" borderId="0"/>
    <xf numFmtId="0" fontId="56" fillId="51" borderId="62" applyNumberFormat="0" applyAlignment="0" applyProtection="0"/>
    <xf numFmtId="0" fontId="56" fillId="51" borderId="62" applyNumberFormat="0" applyAlignment="0" applyProtection="0"/>
    <xf numFmtId="0" fontId="1" fillId="67" borderId="63" applyNumberFormat="0" applyFont="0" applyAlignment="0" applyProtection="0"/>
    <xf numFmtId="0" fontId="49" fillId="64" borderId="62" applyNumberFormat="0" applyAlignment="0" applyProtection="0"/>
    <xf numFmtId="0" fontId="59" fillId="64" borderId="64" applyNumberFormat="0" applyAlignment="0" applyProtection="0"/>
    <xf numFmtId="0" fontId="45" fillId="0" borderId="65" applyNumberFormat="0" applyFill="0" applyAlignment="0" applyProtection="0"/>
    <xf numFmtId="0" fontId="56" fillId="51" borderId="62" applyNumberFormat="0" applyAlignment="0" applyProtection="0"/>
    <xf numFmtId="0" fontId="59" fillId="64" borderId="64"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59" fillId="64" borderId="64" applyNumberFormat="0" applyAlignment="0" applyProtection="0"/>
    <xf numFmtId="0" fontId="45" fillId="0" borderId="65" applyNumberFormat="0" applyFill="0" applyAlignment="0" applyProtection="0"/>
    <xf numFmtId="0" fontId="49" fillId="64" borderId="62" applyNumberFormat="0" applyAlignment="0" applyProtection="0"/>
    <xf numFmtId="0" fontId="49" fillId="64" borderId="62" applyNumberFormat="0" applyAlignment="0" applyProtection="0"/>
    <xf numFmtId="0" fontId="1" fillId="67" borderId="63" applyNumberFormat="0" applyFont="0" applyAlignment="0" applyProtection="0"/>
    <xf numFmtId="0" fontId="59" fillId="64" borderId="64" applyNumberFormat="0" applyAlignment="0" applyProtection="0"/>
    <xf numFmtId="0" fontId="45" fillId="0" borderId="65" applyNumberFormat="0" applyFill="0" applyAlignment="0" applyProtection="0"/>
    <xf numFmtId="0" fontId="45" fillId="0" borderId="65" applyNumberFormat="0" applyFill="0" applyAlignment="0" applyProtection="0"/>
    <xf numFmtId="0" fontId="49" fillId="64" borderId="62" applyNumberFormat="0" applyAlignment="0" applyProtection="0"/>
    <xf numFmtId="0" fontId="56" fillId="51" borderId="62" applyNumberFormat="0" applyAlignment="0" applyProtection="0"/>
    <xf numFmtId="0" fontId="1" fillId="67" borderId="63" applyNumberFormat="0" applyFont="0" applyAlignment="0" applyProtection="0"/>
    <xf numFmtId="0" fontId="59" fillId="64" borderId="64" applyNumberFormat="0" applyAlignment="0" applyProtection="0"/>
    <xf numFmtId="0" fontId="45" fillId="0" borderId="65" applyNumberFormat="0" applyFill="0" applyAlignment="0" applyProtection="0"/>
    <xf numFmtId="0" fontId="45" fillId="0" borderId="69" applyNumberFormat="0" applyFill="0" applyAlignment="0" applyProtection="0"/>
    <xf numFmtId="0" fontId="59" fillId="64" borderId="68" applyNumberFormat="0" applyAlignment="0" applyProtection="0"/>
    <xf numFmtId="0" fontId="49" fillId="64" borderId="66" applyNumberFormat="0" applyAlignment="0" applyProtection="0"/>
    <xf numFmtId="0" fontId="49" fillId="64" borderId="66" applyNumberFormat="0" applyAlignment="0" applyProtection="0"/>
    <xf numFmtId="0" fontId="59" fillId="64" borderId="68" applyNumberFormat="0" applyAlignment="0" applyProtection="0"/>
    <xf numFmtId="0" fontId="59" fillId="64" borderId="68" applyNumberFormat="0" applyAlignment="0" applyProtection="0"/>
    <xf numFmtId="0" fontId="49" fillId="64" borderId="66" applyNumberFormat="0" applyAlignment="0" applyProtection="0"/>
    <xf numFmtId="0" fontId="1" fillId="67" borderId="63" applyNumberFormat="0" applyFon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66" applyNumberFormat="0" applyAlignment="0" applyProtection="0"/>
    <xf numFmtId="0" fontId="1" fillId="67" borderId="67" applyNumberFormat="0" applyFont="0" applyAlignment="0" applyProtection="0"/>
    <xf numFmtId="0" fontId="59" fillId="64" borderId="6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66" applyNumberFormat="0" applyAlignment="0" applyProtection="0"/>
    <xf numFmtId="0" fontId="45" fillId="0" borderId="69" applyNumberFormat="0" applyFill="0" applyAlignment="0" applyProtection="0"/>
    <xf numFmtId="0" fontId="49" fillId="64" borderId="58" applyNumberFormat="0" applyAlignment="0" applyProtection="0"/>
    <xf numFmtId="0" fontId="45" fillId="0" borderId="69" applyNumberFormat="0" applyFill="0" applyAlignment="0" applyProtection="0"/>
    <xf numFmtId="0" fontId="1" fillId="67" borderId="67" applyNumberFormat="0" applyFont="0" applyAlignment="0" applyProtection="0"/>
    <xf numFmtId="0" fontId="59" fillId="64" borderId="68" applyNumberFormat="0" applyAlignment="0" applyProtection="0"/>
    <xf numFmtId="0" fontId="49" fillId="64" borderId="66" applyNumberFormat="0" applyAlignment="0" applyProtection="0"/>
    <xf numFmtId="0" fontId="56" fillId="51" borderId="58" applyNumberFormat="0" applyAlignment="0" applyProtection="0"/>
    <xf numFmtId="0" fontId="56" fillId="51" borderId="58" applyNumberFormat="0" applyAlignment="0" applyProtection="0"/>
    <xf numFmtId="0" fontId="49" fillId="64" borderId="66"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9" applyNumberFormat="0" applyFill="0" applyAlignment="0" applyProtection="0"/>
    <xf numFmtId="0" fontId="49" fillId="64" borderId="66" applyNumberFormat="0" applyAlignment="0" applyProtection="0"/>
    <xf numFmtId="0" fontId="56" fillId="51"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59" fillId="64" borderId="68" applyNumberFormat="0" applyAlignment="0" applyProtection="0"/>
    <xf numFmtId="0" fontId="59" fillId="64" borderId="68" applyNumberFormat="0" applyAlignment="0" applyProtection="0"/>
    <xf numFmtId="0" fontId="45" fillId="0" borderId="69" applyNumberFormat="0" applyFill="0" applyAlignment="0" applyProtection="0"/>
    <xf numFmtId="0" fontId="59" fillId="64" borderId="68" applyNumberFormat="0" applyAlignment="0" applyProtection="0"/>
    <xf numFmtId="0" fontId="49" fillId="64" borderId="58" applyNumberFormat="0" applyAlignment="0" applyProtection="0"/>
    <xf numFmtId="0" fontId="1" fillId="67" borderId="63" applyNumberFormat="0" applyFon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66" applyNumberFormat="0" applyAlignment="0" applyProtection="0"/>
    <xf numFmtId="0" fontId="56" fillId="51" borderId="66" applyNumberFormat="0" applyAlignment="0" applyProtection="0"/>
    <xf numFmtId="0" fontId="49" fillId="64" borderId="58" applyNumberFormat="0" applyAlignment="0" applyProtection="0"/>
    <xf numFmtId="0" fontId="56" fillId="51" borderId="58" applyNumberFormat="0" applyAlignment="0" applyProtection="0"/>
    <xf numFmtId="0" fontId="1" fillId="67" borderId="67" applyNumberFormat="0" applyFont="0" applyAlignment="0" applyProtection="0"/>
    <xf numFmtId="0" fontId="49" fillId="64" borderId="58" applyNumberFormat="0" applyAlignment="0" applyProtection="0"/>
    <xf numFmtId="0" fontId="59" fillId="64" borderId="60" applyNumberFormat="0" applyAlignment="0" applyProtection="0"/>
    <xf numFmtId="0" fontId="56" fillId="51" borderId="58" applyNumberFormat="0" applyAlignment="0" applyProtection="0"/>
    <xf numFmtId="0" fontId="59" fillId="64" borderId="68" applyNumberFormat="0" applyAlignment="0" applyProtection="0"/>
    <xf numFmtId="0" fontId="49" fillId="64" borderId="58" applyNumberFormat="0" applyAlignment="0" applyProtection="0"/>
    <xf numFmtId="0" fontId="45" fillId="0" borderId="69" applyNumberFormat="0" applyFill="0" applyAlignment="0" applyProtection="0"/>
    <xf numFmtId="0" fontId="56" fillId="51" borderId="58" applyNumberFormat="0" applyAlignment="0" applyProtection="0"/>
    <xf numFmtId="0" fontId="59" fillId="64" borderId="68" applyNumberFormat="0" applyAlignment="0" applyProtection="0"/>
    <xf numFmtId="0" fontId="49" fillId="64" borderId="58" applyNumberFormat="0" applyAlignment="0" applyProtection="0"/>
    <xf numFmtId="0" fontId="55" fillId="0" borderId="56" applyNumberFormat="0" applyFill="0" applyAlignment="0" applyProtection="0"/>
    <xf numFmtId="0" fontId="59" fillId="64" borderId="60" applyNumberFormat="0" applyAlignment="0" applyProtection="0"/>
    <xf numFmtId="0" fontId="45" fillId="0" borderId="61" applyNumberFormat="0" applyFill="0" applyAlignment="0" applyProtection="0"/>
    <xf numFmtId="0" fontId="45" fillId="0" borderId="69"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9" applyNumberFormat="0" applyFill="0" applyAlignment="0" applyProtection="0"/>
    <xf numFmtId="44" fontId="5" fillId="0" borderId="0" applyFont="0" applyFill="0" applyBorder="0" applyAlignment="0" applyProtection="0"/>
    <xf numFmtId="3" fontId="63" fillId="0" borderId="54" applyAlignment="0">
      <alignment horizontal="right" vertical="center"/>
    </xf>
    <xf numFmtId="3" fontId="63" fillId="0" borderId="54" applyAlignment="0">
      <alignment horizontal="right" vertical="center"/>
    </xf>
    <xf numFmtId="49" fontId="64" fillId="0" borderId="54">
      <alignment horizontal="left" vertical="center"/>
    </xf>
    <xf numFmtId="49" fontId="64" fillId="0" borderId="54">
      <alignment horizontal="left" vertical="center"/>
    </xf>
    <xf numFmtId="168" fontId="65" fillId="0" borderId="54">
      <alignment horizontal="right"/>
    </xf>
    <xf numFmtId="168" fontId="65" fillId="0" borderId="54">
      <alignment horizontal="right"/>
    </xf>
    <xf numFmtId="0" fontId="66" fillId="0" borderId="54">
      <alignment horizontal="left"/>
    </xf>
    <xf numFmtId="0" fontId="66" fillId="0" borderId="54">
      <alignment horizontal="left"/>
    </xf>
    <xf numFmtId="0" fontId="66" fillId="0" borderId="57">
      <alignment horizontal="right" vertical="center"/>
    </xf>
    <xf numFmtId="0" fontId="65" fillId="0" borderId="54">
      <alignment horizontal="left" vertical="center"/>
    </xf>
    <xf numFmtId="0" fontId="65" fillId="0" borderId="54">
      <alignment horizontal="left" vertical="center"/>
    </xf>
    <xf numFmtId="0" fontId="49" fillId="64" borderId="66"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59" fillId="64" borderId="68" applyNumberFormat="0" applyAlignment="0" applyProtection="0"/>
    <xf numFmtId="0" fontId="62" fillId="0" borderId="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8" applyNumberFormat="0" applyAlignment="0" applyProtection="0"/>
    <xf numFmtId="49" fontId="64" fillId="0" borderId="54">
      <alignment horizontal="left" vertical="center"/>
    </xf>
    <xf numFmtId="49" fontId="64" fillId="0" borderId="54">
      <alignment horizontal="left" vertical="center"/>
    </xf>
    <xf numFmtId="49" fontId="69" fillId="0" borderId="54" applyFill="0">
      <alignment horizontal="left" vertical="center"/>
    </xf>
    <xf numFmtId="49" fontId="69" fillId="0" borderId="54" applyFill="0">
      <alignment horizontal="left" vertical="center"/>
    </xf>
    <xf numFmtId="0" fontId="66" fillId="0" borderId="55">
      <alignment horizontal="left" vertical="center"/>
    </xf>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49" fontId="63" fillId="0" borderId="54">
      <alignment horizontal="left"/>
    </xf>
    <xf numFmtId="49" fontId="63" fillId="0" borderId="54">
      <alignment horizontal="left"/>
    </xf>
    <xf numFmtId="0" fontId="66" fillId="0" borderId="57">
      <alignment horizontal="left"/>
    </xf>
    <xf numFmtId="0" fontId="49" fillId="64" borderId="58" applyNumberFormat="0" applyAlignment="0" applyProtection="0"/>
    <xf numFmtId="0" fontId="56" fillId="51" borderId="58" applyNumberFormat="0" applyAlignment="0" applyProtection="0"/>
    <xf numFmtId="0" fontId="59" fillId="64" borderId="68" applyNumberFormat="0" applyAlignment="0" applyProtection="0"/>
    <xf numFmtId="0" fontId="56" fillId="51" borderId="58" applyNumberFormat="0" applyAlignment="0" applyProtection="0"/>
    <xf numFmtId="0" fontId="1" fillId="67" borderId="67" applyNumberFormat="0" applyFont="0" applyAlignment="0" applyProtection="0"/>
    <xf numFmtId="0" fontId="56" fillId="51" borderId="58" applyNumberFormat="0" applyAlignment="0" applyProtection="0"/>
    <xf numFmtId="0" fontId="56" fillId="51" borderId="58" applyNumberFormat="0" applyAlignment="0" applyProtection="0"/>
    <xf numFmtId="0" fontId="56" fillId="51" borderId="66" applyNumberFormat="0" applyAlignment="0" applyProtection="0"/>
    <xf numFmtId="0" fontId="49" fillId="64" borderId="66" applyNumberFormat="0" applyAlignment="0" applyProtection="0"/>
    <xf numFmtId="0" fontId="56" fillId="51" borderId="58" applyNumberFormat="0" applyAlignment="0" applyProtection="0"/>
    <xf numFmtId="0" fontId="1" fillId="67" borderId="63" applyNumberFormat="0" applyFont="0" applyAlignment="0" applyProtection="0"/>
    <xf numFmtId="0" fontId="59" fillId="64" borderId="60" applyNumberFormat="0" applyAlignment="0" applyProtection="0"/>
    <xf numFmtId="0" fontId="45" fillId="0" borderId="69" applyNumberFormat="0" applyFill="0" applyAlignment="0" applyProtection="0"/>
    <xf numFmtId="0" fontId="49" fillId="64" borderId="58" applyNumberFormat="0" applyAlignment="0" applyProtection="0"/>
    <xf numFmtId="0" fontId="56" fillId="51" borderId="58" applyNumberFormat="0" applyAlignment="0" applyProtection="0"/>
    <xf numFmtId="0" fontId="59" fillId="64" borderId="68" applyNumberFormat="0" applyAlignment="0" applyProtection="0"/>
    <xf numFmtId="0" fontId="56" fillId="51" borderId="58" applyNumberFormat="0" applyAlignment="0" applyProtection="0"/>
    <xf numFmtId="0" fontId="1" fillId="67" borderId="67" applyNumberFormat="0" applyFont="0" applyAlignment="0" applyProtection="0"/>
    <xf numFmtId="0" fontId="56" fillId="51" borderId="58"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9" applyNumberFormat="0" applyFill="0" applyAlignment="0" applyProtection="0"/>
    <xf numFmtId="0" fontId="49" fillId="64" borderId="58" applyNumberFormat="0" applyAlignment="0" applyProtection="0"/>
    <xf numFmtId="0" fontId="56" fillId="51" borderId="58" applyNumberFormat="0" applyAlignment="0" applyProtection="0"/>
    <xf numFmtId="0" fontId="59" fillId="64" borderId="68" applyNumberFormat="0" applyAlignment="0" applyProtection="0"/>
    <xf numFmtId="0" fontId="56" fillId="51" borderId="58" applyNumberFormat="0" applyAlignment="0" applyProtection="0"/>
    <xf numFmtId="0" fontId="1" fillId="67" borderId="67" applyNumberFormat="0" applyFont="0" applyAlignment="0" applyProtection="0"/>
    <xf numFmtId="0" fontId="56" fillId="51" borderId="58"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45" fillId="0" borderId="69" applyNumberFormat="0" applyFill="0" applyAlignment="0" applyProtection="0"/>
    <xf numFmtId="0" fontId="59" fillId="64" borderId="68" applyNumberFormat="0" applyAlignment="0" applyProtection="0"/>
    <xf numFmtId="0" fontId="1" fillId="67" borderId="67" applyNumberFormat="0" applyFont="0" applyAlignment="0" applyProtection="0"/>
    <xf numFmtId="0" fontId="49" fillId="64" borderId="58" applyNumberFormat="0" applyAlignment="0" applyProtection="0"/>
    <xf numFmtId="0" fontId="16" fillId="0" borderId="0" applyNumberFormat="0" applyFill="0" applyBorder="0" applyAlignment="0" applyProtection="0">
      <alignment vertical="top"/>
      <protection locked="0"/>
    </xf>
    <xf numFmtId="0" fontId="59" fillId="64" borderId="68" applyNumberFormat="0" applyAlignment="0" applyProtection="0"/>
    <xf numFmtId="0" fontId="49" fillId="64"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6" fillId="0" borderId="57">
      <alignment horizontal="right" vertical="center"/>
    </xf>
    <xf numFmtId="0" fontId="65" fillId="0" borderId="54">
      <alignment horizontal="left" vertical="center"/>
    </xf>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49" fontId="64" fillId="0" borderId="54">
      <alignment horizontal="left" vertical="center"/>
    </xf>
    <xf numFmtId="49" fontId="69" fillId="0" borderId="54" applyFill="0">
      <alignment horizontal="left" vertical="center"/>
    </xf>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49" fontId="63" fillId="0" borderId="54">
      <alignment horizontal="left"/>
    </xf>
    <xf numFmtId="0" fontId="66" fillId="0" borderId="57">
      <alignment horizontal="left"/>
    </xf>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59" fillId="64" borderId="60" applyNumberFormat="0" applyAlignment="0" applyProtection="0"/>
    <xf numFmtId="0" fontId="56" fillId="51" borderId="5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49" fillId="64" borderId="58"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59" fillId="64" borderId="60"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59" fillId="64" borderId="60"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1" fillId="67" borderId="59" applyNumberFormat="0" applyFon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56" fillId="51" borderId="66" applyNumberFormat="0" applyAlignment="0" applyProtection="0"/>
    <xf numFmtId="0" fontId="49" fillId="64" borderId="66" applyNumberFormat="0" applyAlignment="0" applyProtection="0"/>
    <xf numFmtId="0" fontId="59" fillId="64" borderId="68" applyNumberFormat="0" applyAlignment="0" applyProtection="0"/>
    <xf numFmtId="0" fontId="49" fillId="64"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59" fillId="64" borderId="60" applyNumberFormat="0" applyAlignment="0" applyProtection="0"/>
    <xf numFmtId="0" fontId="56" fillId="51" borderId="5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59" fillId="64" borderId="60" applyNumberFormat="0" applyAlignment="0" applyProtection="0"/>
    <xf numFmtId="0" fontId="49" fillId="64" borderId="58"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59" fillId="64" borderId="60" applyNumberFormat="0" applyAlignment="0" applyProtection="0"/>
    <xf numFmtId="0" fontId="45" fillId="0" borderId="61" applyNumberFormat="0" applyFill="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59" fillId="64" borderId="60"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1" fillId="67" borderId="59" applyNumberFormat="0" applyFon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0" fontId="59" fillId="64" borderId="60" applyNumberFormat="0" applyAlignment="0" applyProtection="0"/>
    <xf numFmtId="49" fontId="64" fillId="0" borderId="54">
      <alignment horizontal="left" vertical="center"/>
    </xf>
    <xf numFmtId="49" fontId="69" fillId="0" borderId="54" applyFill="0">
      <alignment horizontal="left" vertical="center"/>
    </xf>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3" fontId="63" fillId="0" borderId="54" applyAlignment="0">
      <alignment horizontal="right" vertical="center"/>
    </xf>
    <xf numFmtId="49" fontId="64" fillId="0" borderId="54">
      <alignment horizontal="left" vertical="center"/>
    </xf>
    <xf numFmtId="168" fontId="65" fillId="0" borderId="54">
      <alignment horizontal="right"/>
    </xf>
    <xf numFmtId="0" fontId="66" fillId="0" borderId="54">
      <alignment horizontal="left"/>
    </xf>
    <xf numFmtId="0" fontId="65" fillId="0" borderId="54">
      <alignment horizontal="left" vertical="center"/>
    </xf>
    <xf numFmtId="49" fontId="64" fillId="0" borderId="54">
      <alignment horizontal="left" vertical="center"/>
    </xf>
    <xf numFmtId="49" fontId="69" fillId="0" borderId="54" applyFill="0">
      <alignment horizontal="left" vertical="center"/>
    </xf>
    <xf numFmtId="49" fontId="63" fillId="0" borderId="54">
      <alignment horizontal="left"/>
    </xf>
    <xf numFmtId="0" fontId="49" fillId="64" borderId="66" applyNumberFormat="0" applyAlignment="0" applyProtection="0"/>
    <xf numFmtId="0" fontId="56" fillId="51"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49" fillId="64" borderId="58" applyNumberFormat="0" applyAlignment="0" applyProtection="0"/>
    <xf numFmtId="0" fontId="59" fillId="64" borderId="60" applyNumberFormat="0" applyAlignment="0" applyProtection="0"/>
    <xf numFmtId="0" fontId="45" fillId="0" borderId="61" applyNumberFormat="0" applyFill="0" applyAlignment="0" applyProtection="0"/>
    <xf numFmtId="0" fontId="56" fillId="51" borderId="58" applyNumberFormat="0" applyAlignment="0" applyProtection="0"/>
    <xf numFmtId="0" fontId="59" fillId="64" borderId="60" applyNumberFormat="0" applyAlignment="0" applyProtection="0"/>
    <xf numFmtId="0" fontId="1" fillId="67" borderId="59" applyNumberFormat="0" applyFon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56" fillId="51" borderId="58" applyNumberFormat="0" applyAlignment="0" applyProtection="0"/>
    <xf numFmtId="0" fontId="1" fillId="67" borderId="59"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45" fillId="0" borderId="69" applyNumberFormat="0" applyFill="0" applyAlignment="0" applyProtection="0"/>
    <xf numFmtId="0" fontId="59" fillId="64" borderId="60" applyNumberFormat="0" applyAlignment="0" applyProtection="0"/>
    <xf numFmtId="0" fontId="45" fillId="0" borderId="69"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9" fillId="64" borderId="66" applyNumberFormat="0" applyAlignment="0" applyProtection="0"/>
    <xf numFmtId="0" fontId="59" fillId="64" borderId="68" applyNumberFormat="0" applyAlignment="0" applyProtection="0"/>
    <xf numFmtId="0" fontId="49" fillId="64" borderId="66" applyNumberFormat="0" applyAlignment="0" applyProtection="0"/>
    <xf numFmtId="0" fontId="49" fillId="64" borderId="66"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5" fillId="0" borderId="69" applyNumberFormat="0" applyFill="0" applyAlignment="0" applyProtection="0"/>
    <xf numFmtId="0" fontId="49" fillId="64"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49" fillId="64" borderId="66" applyNumberFormat="0" applyAlignment="0" applyProtection="0"/>
    <xf numFmtId="0" fontId="1" fillId="67" borderId="67" applyNumberFormat="0" applyFon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59" fillId="64" borderId="6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1" fillId="67" borderId="63" applyNumberFormat="0" applyFont="0" applyAlignment="0" applyProtection="0"/>
    <xf numFmtId="0" fontId="1" fillId="67" borderId="63" applyNumberFormat="0" applyFont="0" applyAlignment="0" applyProtection="0"/>
    <xf numFmtId="0" fontId="56" fillId="51" borderId="58" applyNumberFormat="0" applyAlignment="0" applyProtection="0"/>
    <xf numFmtId="0" fontId="45" fillId="0" borderId="61" applyNumberFormat="0" applyFill="0" applyAlignment="0" applyProtection="0"/>
    <xf numFmtId="0" fontId="1" fillId="67" borderId="63" applyNumberFormat="0" applyFont="0" applyAlignment="0" applyProtection="0"/>
    <xf numFmtId="0" fontId="45" fillId="0" borderId="61" applyNumberFormat="0" applyFill="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56" fillId="51" borderId="58" applyNumberFormat="0" applyAlignment="0" applyProtection="0"/>
    <xf numFmtId="0" fontId="59" fillId="64" borderId="68" applyNumberFormat="0" applyAlignment="0" applyProtection="0"/>
    <xf numFmtId="0" fontId="49" fillId="64" borderId="66" applyNumberFormat="0" applyAlignment="0" applyProtection="0"/>
    <xf numFmtId="0" fontId="59" fillId="64" borderId="68"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58" applyNumberFormat="0" applyAlignment="0" applyProtection="0"/>
    <xf numFmtId="0" fontId="56" fillId="51" borderId="66" applyNumberFormat="0" applyAlignment="0" applyProtection="0"/>
    <xf numFmtId="0" fontId="56" fillId="51" borderId="58" applyNumberFormat="0" applyAlignment="0" applyProtection="0"/>
    <xf numFmtId="0" fontId="1" fillId="67" borderId="63" applyNumberFormat="0" applyFont="0" applyAlignment="0" applyProtection="0"/>
    <xf numFmtId="0" fontId="56" fillId="51" borderId="66"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59" fillId="64" borderId="6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49" fillId="64" borderId="58" applyNumberForma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56" fillId="51" borderId="58" applyNumberFormat="0" applyAlignment="0" applyProtection="0"/>
    <xf numFmtId="0" fontId="56" fillId="51" borderId="58" applyNumberFormat="0" applyAlignment="0" applyProtection="0"/>
    <xf numFmtId="0" fontId="45" fillId="0" borderId="61" applyNumberFormat="0" applyFill="0" applyAlignment="0" applyProtection="0"/>
    <xf numFmtId="0" fontId="1" fillId="67" borderId="63" applyNumberFormat="0" applyFont="0" applyAlignment="0" applyProtection="0"/>
    <xf numFmtId="0" fontId="1" fillId="67" borderId="63" applyNumberFormat="0" applyFont="0" applyAlignment="0" applyProtection="0"/>
    <xf numFmtId="0" fontId="56" fillId="51" borderId="58" applyNumberFormat="0" applyAlignment="0" applyProtection="0"/>
    <xf numFmtId="0" fontId="45" fillId="0" borderId="61" applyNumberFormat="0" applyFill="0" applyAlignment="0" applyProtection="0"/>
    <xf numFmtId="0" fontId="1" fillId="67" borderId="63" applyNumberFormat="0" applyFont="0" applyAlignment="0" applyProtection="0"/>
    <xf numFmtId="0" fontId="45" fillId="0" borderId="61" applyNumberFormat="0" applyFill="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5" fillId="0" borderId="61" applyNumberFormat="0" applyFill="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56" fillId="51"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49" fillId="64" borderId="5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3"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49" fillId="64" borderId="66"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45" fillId="0" borderId="61" applyNumberFormat="0" applyFill="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59" fillId="64" borderId="6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56" fillId="51" borderId="66" applyNumberFormat="0" applyAlignment="0" applyProtection="0"/>
    <xf numFmtId="0" fontId="59" fillId="64" borderId="6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6" fillId="51" borderId="66" applyNumberFormat="0" applyAlignment="0" applyProtection="0"/>
    <xf numFmtId="0" fontId="59" fillId="64" borderId="68" applyNumberFormat="0" applyAlignment="0" applyProtection="0"/>
    <xf numFmtId="0" fontId="56" fillId="51"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49" fillId="64" borderId="58" applyNumberFormat="0" applyAlignment="0" applyProtection="0"/>
    <xf numFmtId="0" fontId="59" fillId="64" borderId="60" applyNumberFormat="0" applyAlignment="0" applyProtection="0"/>
    <xf numFmtId="0" fontId="45" fillId="0" borderId="61" applyNumberFormat="0" applyFill="0" applyAlignment="0" applyProtection="0"/>
    <xf numFmtId="0" fontId="56" fillId="51" borderId="58" applyNumberFormat="0" applyAlignment="0" applyProtection="0"/>
    <xf numFmtId="0" fontId="59" fillId="64" borderId="60" applyNumberFormat="0" applyAlignment="0" applyProtection="0"/>
    <xf numFmtId="0" fontId="1" fillId="67" borderId="63" applyNumberFormat="0" applyFont="0" applyAlignment="0" applyProtection="0"/>
    <xf numFmtId="0" fontId="1" fillId="67" borderId="63"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58" applyNumberFormat="0" applyAlignment="0" applyProtection="0"/>
    <xf numFmtId="0" fontId="49" fillId="64" borderId="58" applyNumberFormat="0" applyAlignment="0" applyProtection="0"/>
    <xf numFmtId="0" fontId="1" fillId="67" borderId="63"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5" fillId="0" borderId="61" applyNumberFormat="0" applyFill="0" applyAlignment="0" applyProtection="0"/>
    <xf numFmtId="0" fontId="49" fillId="64" borderId="58" applyNumberFormat="0" applyAlignment="0" applyProtection="0"/>
    <xf numFmtId="0" fontId="56" fillId="51" borderId="58" applyNumberFormat="0" applyAlignment="0" applyProtection="0"/>
    <xf numFmtId="0" fontId="1" fillId="67" borderId="63" applyNumberFormat="0" applyFont="0" applyAlignment="0" applyProtection="0"/>
    <xf numFmtId="0" fontId="59" fillId="64" borderId="60" applyNumberFormat="0" applyAlignment="0" applyProtection="0"/>
    <xf numFmtId="0" fontId="45" fillId="0" borderId="61" applyNumberFormat="0" applyFill="0" applyAlignment="0" applyProtection="0"/>
    <xf numFmtId="0" fontId="49" fillId="64"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59" fillId="64" borderId="68" applyNumberFormat="0" applyAlignment="0" applyProtection="0"/>
    <xf numFmtId="0" fontId="56" fillId="51" borderId="66" applyNumberFormat="0" applyAlignment="0" applyProtection="0"/>
    <xf numFmtId="0" fontId="49" fillId="64" borderId="66" applyNumberFormat="0" applyAlignment="0" applyProtection="0"/>
    <xf numFmtId="0" fontId="59" fillId="64" borderId="68" applyNumberFormat="0" applyAlignment="0" applyProtection="0"/>
    <xf numFmtId="0" fontId="56" fillId="51" borderId="66"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59" fillId="64" borderId="68" applyNumberFormat="0" applyAlignment="0" applyProtection="0"/>
    <xf numFmtId="0" fontId="49" fillId="64" borderId="66" applyNumberFormat="0" applyAlignment="0" applyProtection="0"/>
    <xf numFmtId="0" fontId="45" fillId="0" borderId="69" applyNumberFormat="0" applyFill="0" applyAlignment="0" applyProtection="0"/>
    <xf numFmtId="0" fontId="49" fillId="64" borderId="66" applyNumberFormat="0" applyAlignment="0" applyProtection="0"/>
    <xf numFmtId="0" fontId="45" fillId="0" borderId="69" applyNumberFormat="0" applyFill="0" applyAlignment="0" applyProtection="0"/>
    <xf numFmtId="0" fontId="56" fillId="51" borderId="66" applyNumberFormat="0" applyAlignment="0" applyProtection="0"/>
    <xf numFmtId="0" fontId="49" fillId="64" borderId="66" applyNumberFormat="0" applyAlignment="0" applyProtection="0"/>
    <xf numFmtId="0" fontId="56" fillId="51"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45" fillId="0" borderId="69" applyNumberFormat="0" applyFill="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6" fillId="51" borderId="66" applyNumberFormat="0" applyAlignment="0" applyProtection="0"/>
    <xf numFmtId="0" fontId="59" fillId="64" borderId="68" applyNumberFormat="0" applyAlignment="0" applyProtection="0"/>
    <xf numFmtId="0" fontId="45" fillId="0" borderId="69" applyNumberFormat="0" applyFill="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xf numFmtId="0" fontId="59" fillId="64" borderId="6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1" fillId="67" borderId="67" applyNumberFormat="0" applyFon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5" fillId="0" borderId="69" applyNumberFormat="0" applyFill="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6" fillId="51" borderId="66" applyNumberFormat="0" applyAlignment="0" applyProtection="0"/>
    <xf numFmtId="0" fontId="49" fillId="64"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59" fillId="64" borderId="68" applyNumberFormat="0" applyAlignment="0" applyProtection="0"/>
    <xf numFmtId="0" fontId="56" fillId="51" borderId="66" applyNumberFormat="0" applyAlignment="0" applyProtection="0"/>
    <xf numFmtId="0" fontId="49" fillId="64" borderId="66" applyNumberFormat="0" applyAlignment="0" applyProtection="0"/>
    <xf numFmtId="0" fontId="59" fillId="64" borderId="68" applyNumberFormat="0" applyAlignment="0" applyProtection="0"/>
    <xf numFmtId="0" fontId="56" fillId="51" borderId="66"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59" fillId="64" borderId="68" applyNumberFormat="0" applyAlignment="0" applyProtection="0"/>
    <xf numFmtId="0" fontId="49" fillId="64" borderId="66" applyNumberFormat="0" applyAlignment="0" applyProtection="0"/>
    <xf numFmtId="0" fontId="45" fillId="0" borderId="69" applyNumberFormat="0" applyFill="0" applyAlignment="0" applyProtection="0"/>
    <xf numFmtId="0" fontId="49" fillId="64" borderId="66" applyNumberFormat="0" applyAlignment="0" applyProtection="0"/>
    <xf numFmtId="0" fontId="45" fillId="0" borderId="69" applyNumberFormat="0" applyFill="0" applyAlignment="0" applyProtection="0"/>
    <xf numFmtId="0" fontId="56" fillId="51" borderId="66" applyNumberFormat="0" applyAlignment="0" applyProtection="0"/>
    <xf numFmtId="0" fontId="49" fillId="64" borderId="66" applyNumberFormat="0" applyAlignment="0" applyProtection="0"/>
    <xf numFmtId="0" fontId="56" fillId="51"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45" fillId="0" borderId="69" applyNumberFormat="0" applyFill="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6" fillId="51" borderId="66" applyNumberFormat="0" applyAlignment="0" applyProtection="0"/>
    <xf numFmtId="0" fontId="59" fillId="64" borderId="68" applyNumberFormat="0" applyAlignment="0" applyProtection="0"/>
    <xf numFmtId="0" fontId="45" fillId="0" borderId="69" applyNumberFormat="0" applyFill="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xf numFmtId="0" fontId="59" fillId="64" borderId="6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1" fillId="67" borderId="67" applyNumberFormat="0" applyFon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5" fillId="0" borderId="69" applyNumberFormat="0" applyFill="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6" fillId="51"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49" fillId="64"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59" fillId="64" borderId="68"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45" fillId="0" borderId="69" applyNumberFormat="0" applyFill="0" applyAlignment="0" applyProtection="0"/>
    <xf numFmtId="0" fontId="56" fillId="51"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49" fillId="64" borderId="66" applyNumberFormat="0" applyAlignment="0" applyProtection="0"/>
    <xf numFmtId="0" fontId="59" fillId="64" borderId="68" applyNumberFormat="0" applyAlignment="0" applyProtection="0"/>
    <xf numFmtId="0" fontId="45" fillId="0" borderId="69" applyNumberFormat="0" applyFill="0" applyAlignment="0" applyProtection="0"/>
    <xf numFmtId="0" fontId="56" fillId="51" borderId="66" applyNumberFormat="0" applyAlignment="0" applyProtection="0"/>
    <xf numFmtId="0" fontId="59" fillId="64" borderId="68" applyNumberFormat="0" applyAlignment="0" applyProtection="0"/>
    <xf numFmtId="0" fontId="1" fillId="67" borderId="67" applyNumberFormat="0" applyFont="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xf numFmtId="0" fontId="49" fillId="64" borderId="66" applyNumberFormat="0" applyAlignment="0" applyProtection="0"/>
    <xf numFmtId="0" fontId="49" fillId="64" borderId="66" applyNumberFormat="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xf numFmtId="0" fontId="45" fillId="0" borderId="69" applyNumberFormat="0" applyFill="0" applyAlignment="0" applyProtection="0"/>
    <xf numFmtId="0" fontId="49" fillId="64" borderId="66" applyNumberFormat="0" applyAlignment="0" applyProtection="0"/>
    <xf numFmtId="0" fontId="56" fillId="51" borderId="66" applyNumberFormat="0" applyAlignment="0" applyProtection="0"/>
    <xf numFmtId="0" fontId="1" fillId="67" borderId="67" applyNumberFormat="0" applyFont="0" applyAlignment="0" applyProtection="0"/>
    <xf numFmtId="0" fontId="59" fillId="64" borderId="68" applyNumberFormat="0" applyAlignment="0" applyProtection="0"/>
    <xf numFmtId="0" fontId="45" fillId="0" borderId="69" applyNumberFormat="0" applyFill="0" applyAlignment="0" applyProtection="0"/>
  </cellStyleXfs>
  <cellXfs count="1313">
    <xf numFmtId="0" fontId="0" fillId="0" borderId="0" xfId="0"/>
    <xf numFmtId="0" fontId="2" fillId="0" borderId="0" xfId="1" applyFont="1"/>
    <xf numFmtId="0" fontId="3" fillId="0" borderId="0" xfId="2"/>
    <xf numFmtId="3" fontId="0" fillId="0" borderId="0" xfId="0" applyNumberFormat="1"/>
    <xf numFmtId="0" fontId="4" fillId="0" borderId="0" xfId="2" applyFont="1"/>
    <xf numFmtId="10" fontId="4" fillId="0" borderId="0" xfId="6" applyNumberFormat="1" applyFont="1"/>
    <xf numFmtId="0" fontId="8" fillId="0" borderId="0" xfId="8" applyAlignment="1"/>
    <xf numFmtId="0" fontId="10" fillId="0" borderId="0" xfId="2" applyFont="1"/>
    <xf numFmtId="0" fontId="0" fillId="0" borderId="0" xfId="0" applyFont="1"/>
    <xf numFmtId="3"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xf numFmtId="3" fontId="0" fillId="0" borderId="0" xfId="0" applyNumberFormat="1" applyFill="1" applyBorder="1" applyAlignment="1">
      <alignment horizontal="center" vertical="center"/>
    </xf>
    <xf numFmtId="10" fontId="0" fillId="0" borderId="0" xfId="0" applyNumberFormat="1" applyFill="1" applyBorder="1" applyAlignment="1">
      <alignment horizontal="center" vertical="center"/>
    </xf>
    <xf numFmtId="0" fontId="0" fillId="0" borderId="0" xfId="0" applyFill="1"/>
    <xf numFmtId="0" fontId="0" fillId="0" borderId="0" xfId="0" applyBorder="1" applyAlignment="1"/>
    <xf numFmtId="0" fontId="4" fillId="0" borderId="0" xfId="2" applyFont="1" applyFill="1"/>
    <xf numFmtId="0" fontId="4" fillId="0" borderId="0" xfId="2" applyFont="1" applyBorder="1" applyAlignment="1">
      <alignment wrapText="1"/>
    </xf>
    <xf numFmtId="3" fontId="0" fillId="0" borderId="0" xfId="0" applyNumberFormat="1" applyAlignment="1">
      <alignment horizontal="center" vertical="center"/>
    </xf>
    <xf numFmtId="3" fontId="4" fillId="0" borderId="0" xfId="2" applyNumberFormat="1" applyFont="1" applyFill="1" applyBorder="1" applyAlignment="1">
      <alignment horizontal="center" vertical="center"/>
    </xf>
    <xf numFmtId="3" fontId="0" fillId="0" borderId="0" xfId="0" applyNumberFormat="1" applyFont="1"/>
    <xf numFmtId="1" fontId="0" fillId="0" borderId="0" xfId="0" applyNumberFormat="1" applyFill="1"/>
    <xf numFmtId="3" fontId="4" fillId="0" borderId="0" xfId="9" applyNumberFormat="1" applyFont="1" applyFill="1"/>
    <xf numFmtId="10" fontId="4" fillId="0" borderId="0" xfId="2" applyNumberFormat="1" applyFont="1"/>
    <xf numFmtId="3" fontId="0" fillId="0" borderId="0" xfId="0" applyNumberFormat="1" applyFill="1"/>
    <xf numFmtId="0" fontId="20" fillId="0" borderId="0" xfId="78"/>
    <xf numFmtId="0" fontId="6" fillId="0" borderId="13" xfId="0" applyFont="1" applyFill="1" applyBorder="1" applyAlignment="1">
      <alignment horizontal="center" vertical="center"/>
    </xf>
    <xf numFmtId="0" fontId="5" fillId="0" borderId="0" xfId="0" applyFont="1" applyBorder="1" applyAlignment="1">
      <alignment horizontal="center" vertical="center"/>
    </xf>
    <xf numFmtId="0" fontId="20" fillId="0" borderId="0" xfId="78" applyFont="1" applyFill="1"/>
    <xf numFmtId="0" fontId="13" fillId="0" borderId="0" xfId="2" applyFont="1"/>
    <xf numFmtId="0" fontId="13" fillId="0" borderId="0" xfId="1" applyFont="1"/>
    <xf numFmtId="0" fontId="13" fillId="0" borderId="0" xfId="1" applyFont="1" applyFill="1"/>
    <xf numFmtId="0" fontId="25" fillId="0" borderId="11" xfId="1" applyFont="1" applyFill="1" applyBorder="1"/>
    <xf numFmtId="3" fontId="13" fillId="0" borderId="1" xfId="1" applyNumberFormat="1" applyFont="1" applyFill="1" applyBorder="1" applyAlignment="1">
      <alignment horizontal="center" vertical="center"/>
    </xf>
    <xf numFmtId="3" fontId="25" fillId="0" borderId="1" xfId="1" applyNumberFormat="1" applyFont="1" applyFill="1" applyBorder="1" applyAlignment="1">
      <alignment horizontal="center" vertical="center"/>
    </xf>
    <xf numFmtId="0" fontId="13" fillId="0" borderId="11" xfId="1" applyFont="1" applyFill="1" applyBorder="1" applyAlignment="1">
      <alignment horizontal="left" vertical="center"/>
    </xf>
    <xf numFmtId="0" fontId="0" fillId="0" borderId="0" xfId="0" applyAlignment="1">
      <alignment horizontal="left" vertical="center"/>
    </xf>
    <xf numFmtId="0" fontId="20" fillId="0" borderId="0" xfId="77" applyAlignment="1">
      <alignment horizontal="left" vertical="center"/>
    </xf>
    <xf numFmtId="10" fontId="20" fillId="0" borderId="0" xfId="78" applyNumberFormat="1" applyFill="1" applyBorder="1" applyAlignment="1">
      <alignment horizontal="left" vertical="center"/>
    </xf>
    <xf numFmtId="3" fontId="0" fillId="0" borderId="0" xfId="0" applyNumberFormat="1" applyAlignment="1">
      <alignment horizontal="left" vertical="center"/>
    </xf>
    <xf numFmtId="3" fontId="6" fillId="0" borderId="0" xfId="0" applyNumberFormat="1" applyFont="1" applyFill="1" applyBorder="1" applyAlignment="1">
      <alignment horizontal="center" vertical="center"/>
    </xf>
    <xf numFmtId="0" fontId="26" fillId="0" borderId="30" xfId="0" applyFont="1" applyFill="1" applyBorder="1" applyAlignment="1">
      <alignment horizontal="right" vertical="center" wrapText="1"/>
    </xf>
    <xf numFmtId="0" fontId="0" fillId="0" borderId="1" xfId="0"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wrapText="1"/>
    </xf>
    <xf numFmtId="0" fontId="27" fillId="25" borderId="23" xfId="0" applyFont="1" applyFill="1" applyBorder="1" applyAlignment="1">
      <alignment horizontal="center" vertical="center" wrapText="1"/>
    </xf>
    <xf numFmtId="0" fontId="27" fillId="25" borderId="6" xfId="0" applyFont="1" applyFill="1" applyBorder="1" applyAlignment="1">
      <alignment horizontal="center" vertical="center"/>
    </xf>
    <xf numFmtId="3" fontId="30" fillId="25" borderId="6" xfId="0" applyNumberFormat="1" applyFont="1" applyFill="1" applyBorder="1" applyAlignment="1">
      <alignment horizontal="center" vertical="center"/>
    </xf>
    <xf numFmtId="0" fontId="27" fillId="25" borderId="21" xfId="0" applyFont="1" applyFill="1" applyBorder="1" applyAlignment="1">
      <alignment horizontal="center" vertical="center" wrapText="1"/>
    </xf>
    <xf numFmtId="0" fontId="27" fillId="25" borderId="3" xfId="0" applyFont="1" applyFill="1" applyBorder="1" applyAlignment="1">
      <alignment horizontal="center" vertical="center" wrapText="1"/>
    </xf>
    <xf numFmtId="0" fontId="27" fillId="25" borderId="22" xfId="0" applyFont="1" applyFill="1" applyBorder="1" applyAlignment="1">
      <alignment horizontal="center" vertical="center" wrapText="1"/>
    </xf>
    <xf numFmtId="0" fontId="20" fillId="0" borderId="14" xfId="78" applyFill="1" applyBorder="1"/>
    <xf numFmtId="166" fontId="0" fillId="0" borderId="0" xfId="0" applyNumberFormat="1" applyFont="1"/>
    <xf numFmtId="0" fontId="6" fillId="0" borderId="3" xfId="0" applyFont="1" applyFill="1" applyBorder="1" applyAlignment="1">
      <alignment horizontal="center" vertical="center"/>
    </xf>
    <xf numFmtId="0" fontId="0" fillId="0" borderId="0" xfId="0" applyAlignment="1">
      <alignment wrapText="1"/>
    </xf>
    <xf numFmtId="3" fontId="6" fillId="70" borderId="14" xfId="0" applyNumberFormat="1" applyFont="1" applyFill="1" applyBorder="1" applyAlignment="1">
      <alignment horizontal="center" vertical="center"/>
    </xf>
    <xf numFmtId="3" fontId="0" fillId="0" borderId="13" xfId="0" applyNumberFormat="1" applyBorder="1" applyAlignment="1">
      <alignment horizontal="center" vertical="center" wrapText="1"/>
    </xf>
    <xf numFmtId="3" fontId="0" fillId="0" borderId="0" xfId="0" applyNumberFormat="1" applyBorder="1" applyAlignment="1">
      <alignment horizontal="center" vertical="center"/>
    </xf>
    <xf numFmtId="0" fontId="0" fillId="0" borderId="0" xfId="0"/>
    <xf numFmtId="0" fontId="0" fillId="0" borderId="1" xfId="0" applyBorder="1" applyAlignment="1">
      <alignment wrapText="1"/>
    </xf>
    <xf numFmtId="0" fontId="6" fillId="0" borderId="0" xfId="0" applyFont="1"/>
    <xf numFmtId="3" fontId="0" fillId="0" borderId="0" xfId="0" applyNumberFormat="1"/>
    <xf numFmtId="0" fontId="0" fillId="0" borderId="1" xfId="0" applyBorder="1" applyAlignment="1">
      <alignment wrapText="1"/>
    </xf>
    <xf numFmtId="9" fontId="0" fillId="0" borderId="1" xfId="0" applyNumberFormat="1" applyBorder="1" applyAlignment="1">
      <alignment horizontal="center" vertical="center"/>
    </xf>
    <xf numFmtId="3" fontId="6" fillId="0" borderId="0" xfId="0" applyNumberFormat="1" applyFont="1" applyBorder="1" applyAlignment="1">
      <alignment horizontal="center" vertical="center"/>
    </xf>
    <xf numFmtId="0" fontId="6" fillId="0" borderId="18" xfId="0" applyFont="1" applyBorder="1" applyAlignment="1">
      <alignment horizontal="center" vertical="center"/>
    </xf>
    <xf numFmtId="3" fontId="0" fillId="0" borderId="8" xfId="0" applyNumberFormat="1" applyBorder="1" applyAlignment="1">
      <alignment horizontal="center" vertical="center"/>
    </xf>
    <xf numFmtId="0" fontId="0" fillId="0" borderId="8" xfId="0"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0" fillId="0" borderId="7" xfId="0" applyBorder="1" applyAlignment="1">
      <alignment horizontal="center" vertical="center"/>
    </xf>
    <xf numFmtId="0" fontId="6" fillId="0" borderId="9"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170" fontId="0" fillId="0" borderId="1" xfId="0" applyNumberFormat="1" applyBorder="1" applyAlignment="1">
      <alignment horizontal="center" vertical="center"/>
    </xf>
    <xf numFmtId="170" fontId="0" fillId="0" borderId="8" xfId="0" applyNumberFormat="1" applyBorder="1" applyAlignment="1">
      <alignment horizontal="center" vertical="center"/>
    </xf>
    <xf numFmtId="0" fontId="6" fillId="0" borderId="9" xfId="0" applyFont="1" applyBorder="1" applyAlignment="1">
      <alignment horizontal="center" vertical="center" wrapText="1"/>
    </xf>
    <xf numFmtId="9" fontId="30" fillId="25" borderId="24" xfId="0" applyNumberFormat="1" applyFont="1" applyFill="1" applyBorder="1" applyAlignment="1">
      <alignment horizontal="center" vertical="center"/>
    </xf>
    <xf numFmtId="0" fontId="6" fillId="0" borderId="72"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1" xfId="0" applyFont="1" applyFill="1" applyBorder="1" applyAlignment="1">
      <alignment horizontal="center" vertical="center"/>
    </xf>
    <xf numFmtId="4" fontId="0" fillId="0" borderId="0" xfId="0" applyNumberFormat="1"/>
    <xf numFmtId="0" fontId="6" fillId="0" borderId="20" xfId="0" applyFont="1" applyBorder="1" applyAlignment="1">
      <alignment horizontal="center" vertical="center"/>
    </xf>
    <xf numFmtId="0" fontId="0" fillId="0" borderId="70" xfId="0" applyBorder="1" applyAlignment="1">
      <alignment horizontal="center" vertical="center"/>
    </xf>
    <xf numFmtId="3" fontId="0" fillId="0" borderId="70" xfId="0" applyNumberFormat="1" applyBorder="1" applyAlignment="1">
      <alignment horizontal="center" vertical="center"/>
    </xf>
    <xf numFmtId="3" fontId="0" fillId="0" borderId="14" xfId="0" applyNumberFormat="1" applyBorder="1" applyAlignment="1">
      <alignment horizontal="center" vertical="center"/>
    </xf>
    <xf numFmtId="164" fontId="0" fillId="0" borderId="0" xfId="0" applyNumberFormat="1"/>
    <xf numFmtId="165" fontId="6" fillId="0" borderId="7" xfId="0" applyNumberFormat="1" applyFont="1" applyBorder="1" applyAlignment="1">
      <alignment horizontal="center" vertical="center"/>
    </xf>
    <xf numFmtId="165" fontId="0" fillId="0" borderId="1" xfId="0" applyNumberFormat="1" applyBorder="1" applyAlignment="1">
      <alignment horizontal="center" vertical="center"/>
    </xf>
    <xf numFmtId="3" fontId="0" fillId="0" borderId="1" xfId="0" applyNumberFormat="1" applyFill="1" applyBorder="1" applyAlignment="1">
      <alignment horizontal="center" vertical="center"/>
    </xf>
    <xf numFmtId="0" fontId="0" fillId="0" borderId="89" xfId="0" applyBorder="1"/>
    <xf numFmtId="3" fontId="0" fillId="0" borderId="91" xfId="0" applyNumberFormat="1" applyBorder="1" applyAlignment="1">
      <alignment horizontal="center" vertical="center"/>
    </xf>
    <xf numFmtId="0" fontId="0" fillId="0" borderId="89" xfId="0" applyBorder="1" applyAlignment="1">
      <alignment horizontal="center" vertical="center"/>
    </xf>
    <xf numFmtId="3" fontId="0" fillId="0" borderId="90" xfId="0" applyNumberFormat="1" applyBorder="1" applyAlignment="1">
      <alignment horizontal="center" vertical="center"/>
    </xf>
    <xf numFmtId="3" fontId="6" fillId="0" borderId="93" xfId="0" applyNumberFormat="1" applyFont="1" applyBorder="1" applyAlignment="1">
      <alignment horizontal="center" vertical="center"/>
    </xf>
    <xf numFmtId="3" fontId="0" fillId="0" borderId="18" xfId="0" applyNumberFormat="1" applyBorder="1" applyAlignment="1">
      <alignment horizontal="center" vertical="center"/>
    </xf>
    <xf numFmtId="3" fontId="6" fillId="0" borderId="19" xfId="0" applyNumberFormat="1" applyFont="1" applyBorder="1" applyAlignment="1">
      <alignment horizontal="center" vertical="center"/>
    </xf>
    <xf numFmtId="0" fontId="0" fillId="0" borderId="0" xfId="0" applyFill="1" applyBorder="1"/>
    <xf numFmtId="0" fontId="6" fillId="0" borderId="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0" xfId="0" applyFont="1" applyBorder="1" applyAlignment="1">
      <alignment horizontal="center" vertical="center" wrapText="1"/>
    </xf>
    <xf numFmtId="164" fontId="0" fillId="0" borderId="90" xfId="0" applyNumberFormat="1" applyBorder="1" applyAlignment="1">
      <alignment horizontal="center" vertical="center"/>
    </xf>
    <xf numFmtId="3" fontId="0" fillId="0" borderId="99" xfId="0" applyNumberFormat="1" applyBorder="1" applyAlignment="1">
      <alignment horizontal="center" vertical="center"/>
    </xf>
    <xf numFmtId="0" fontId="0" fillId="0" borderId="90" xfId="0" applyBorder="1" applyAlignment="1">
      <alignment horizontal="center" vertical="center"/>
    </xf>
    <xf numFmtId="0" fontId="0" fillId="3" borderId="92" xfId="0" applyFill="1" applyBorder="1"/>
    <xf numFmtId="3" fontId="6" fillId="3" borderId="93" xfId="0" applyNumberFormat="1" applyFont="1" applyFill="1" applyBorder="1" applyAlignment="1">
      <alignment horizontal="center" vertical="center"/>
    </xf>
    <xf numFmtId="164" fontId="0" fillId="3" borderId="93" xfId="0" applyNumberFormat="1" applyFill="1" applyBorder="1" applyAlignment="1">
      <alignment horizontal="center" vertical="center"/>
    </xf>
    <xf numFmtId="3" fontId="6" fillId="70" borderId="94" xfId="0" applyNumberFormat="1" applyFont="1" applyFill="1" applyBorder="1" applyAlignment="1">
      <alignment horizontal="center" vertical="center"/>
    </xf>
    <xf numFmtId="3" fontId="6" fillId="0" borderId="90" xfId="0" applyNumberFormat="1" applyFont="1" applyBorder="1" applyAlignment="1">
      <alignment horizontal="center" vertical="center"/>
    </xf>
    <xf numFmtId="3" fontId="0" fillId="2" borderId="1" xfId="0" applyNumberFormat="1" applyFill="1"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174" fontId="0" fillId="0" borderId="90" xfId="0" applyNumberFormat="1" applyBorder="1" applyAlignment="1">
      <alignment horizontal="center" vertical="center"/>
    </xf>
    <xf numFmtId="174" fontId="0" fillId="0" borderId="93" xfId="0" applyNumberFormat="1" applyBorder="1" applyAlignment="1">
      <alignment horizontal="center" vertical="center"/>
    </xf>
    <xf numFmtId="4" fontId="0" fillId="0" borderId="91" xfId="0" applyNumberFormat="1" applyBorder="1" applyAlignment="1">
      <alignment horizontal="center" vertical="center"/>
    </xf>
    <xf numFmtId="4" fontId="0" fillId="0" borderId="94" xfId="0" applyNumberFormat="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174" fontId="0" fillId="0" borderId="5" xfId="0" applyNumberFormat="1" applyBorder="1" applyAlignment="1">
      <alignment horizontal="center" vertical="center"/>
    </xf>
    <xf numFmtId="4" fontId="0" fillId="0" borderId="19" xfId="0" applyNumberForma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6" fillId="0" borderId="19" xfId="0" applyFont="1" applyBorder="1" applyAlignment="1">
      <alignment horizontal="center" vertical="center"/>
    </xf>
    <xf numFmtId="165" fontId="6" fillId="0" borderId="5" xfId="0" applyNumberFormat="1" applyFont="1" applyBorder="1" applyAlignment="1">
      <alignment horizontal="center" vertical="center"/>
    </xf>
    <xf numFmtId="3" fontId="0" fillId="0" borderId="93" xfId="0" applyNumberFormat="1" applyBorder="1" applyAlignment="1">
      <alignment horizontal="center" vertical="center"/>
    </xf>
    <xf numFmtId="3" fontId="0" fillId="0" borderId="5" xfId="0" applyNumberFormat="1" applyBorder="1" applyAlignment="1">
      <alignment horizontal="center" vertical="center"/>
    </xf>
    <xf numFmtId="0" fontId="6" fillId="0" borderId="9"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xf>
    <xf numFmtId="0" fontId="0" fillId="0" borderId="89" xfId="0" applyBorder="1" applyAlignment="1">
      <alignment horizontal="center"/>
    </xf>
    <xf numFmtId="0" fontId="0" fillId="0" borderId="90" xfId="0" applyBorder="1" applyAlignment="1">
      <alignment horizontal="center"/>
    </xf>
    <xf numFmtId="0" fontId="0" fillId="0" borderId="92" xfId="0" applyBorder="1" applyAlignment="1">
      <alignment horizontal="center"/>
    </xf>
    <xf numFmtId="0" fontId="0" fillId="0" borderId="93" xfId="0" applyBorder="1" applyAlignment="1">
      <alignment horizontal="center"/>
    </xf>
    <xf numFmtId="174" fontId="0" fillId="0" borderId="90" xfId="0" applyNumberFormat="1" applyBorder="1" applyAlignment="1">
      <alignment horizontal="center"/>
    </xf>
    <xf numFmtId="174" fontId="0" fillId="0" borderId="93" xfId="0" applyNumberFormat="1" applyBorder="1" applyAlignment="1">
      <alignment horizontal="center"/>
    </xf>
    <xf numFmtId="4" fontId="0" fillId="0" borderId="91" xfId="0" applyNumberFormat="1" applyBorder="1" applyAlignment="1">
      <alignment horizontal="center"/>
    </xf>
    <xf numFmtId="4" fontId="0" fillId="0" borderId="94" xfId="0" applyNumberFormat="1" applyBorder="1" applyAlignment="1">
      <alignment horizontal="center"/>
    </xf>
    <xf numFmtId="0" fontId="6" fillId="0" borderId="87"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2" xfId="0" applyFont="1" applyFill="1" applyBorder="1" applyAlignment="1">
      <alignment horizontal="center" vertical="center" wrapText="1"/>
    </xf>
    <xf numFmtId="0" fontId="6" fillId="0" borderId="93" xfId="0" applyFont="1" applyFill="1" applyBorder="1" applyAlignment="1">
      <alignment horizontal="center" vertical="center"/>
    </xf>
    <xf numFmtId="0" fontId="25" fillId="0" borderId="18" xfId="1" applyFont="1" applyFill="1" applyBorder="1"/>
    <xf numFmtId="0" fontId="25" fillId="0" borderId="5" xfId="1" applyFont="1" applyFill="1" applyBorder="1" applyAlignment="1">
      <alignment horizontal="center" vertical="center"/>
    </xf>
    <xf numFmtId="9" fontId="0" fillId="0" borderId="0" xfId="0" applyNumberFormat="1"/>
    <xf numFmtId="3" fontId="6" fillId="0" borderId="0" xfId="0" applyNumberFormat="1" applyFont="1"/>
    <xf numFmtId="0" fontId="76" fillId="0" borderId="0" xfId="0" applyFont="1"/>
    <xf numFmtId="3" fontId="5" fillId="0" borderId="99" xfId="0" applyNumberFormat="1" applyFont="1" applyFill="1" applyBorder="1" applyAlignment="1">
      <alignment horizontal="center" vertical="center" wrapText="1"/>
    </xf>
    <xf numFmtId="3" fontId="0" fillId="0" borderId="0" xfId="0" applyNumberFormat="1" applyBorder="1" applyAlignment="1"/>
    <xf numFmtId="4" fontId="0" fillId="0" borderId="0" xfId="0" applyNumberFormat="1" applyFont="1"/>
    <xf numFmtId="0" fontId="0" fillId="0" borderId="92" xfId="0" applyFont="1" applyBorder="1" applyAlignment="1">
      <alignment horizontal="center" vertical="center"/>
    </xf>
    <xf numFmtId="0" fontId="6" fillId="0" borderId="98" xfId="0" applyFont="1" applyFill="1" applyBorder="1" applyAlignment="1">
      <alignment horizontal="center" vertical="center"/>
    </xf>
    <xf numFmtId="164" fontId="30" fillId="25" borderId="24" xfId="0" applyNumberFormat="1" applyFont="1" applyFill="1" applyBorder="1" applyAlignment="1">
      <alignment horizontal="center" vertical="center"/>
    </xf>
    <xf numFmtId="0" fontId="6" fillId="0" borderId="97" xfId="0" applyFont="1" applyFill="1" applyBorder="1" applyAlignment="1">
      <alignment horizontal="center" vertical="center" wrapText="1"/>
    </xf>
    <xf numFmtId="3" fontId="0" fillId="3" borderId="99" xfId="0" applyNumberFormat="1" applyFill="1" applyBorder="1" applyAlignment="1">
      <alignment horizontal="center" vertical="center"/>
    </xf>
    <xf numFmtId="0" fontId="25" fillId="0" borderId="89" xfId="0" applyFont="1" applyFill="1" applyBorder="1" applyAlignment="1">
      <alignment horizontal="center" vertical="center" wrapText="1"/>
    </xf>
    <xf numFmtId="9" fontId="0" fillId="0" borderId="0" xfId="0" applyNumberFormat="1" applyFont="1"/>
    <xf numFmtId="176" fontId="0" fillId="0" borderId="0" xfId="0" applyNumberFormat="1" applyFont="1"/>
    <xf numFmtId="0" fontId="6" fillId="0" borderId="83" xfId="0" applyFont="1" applyFill="1" applyBorder="1" applyAlignment="1">
      <alignment horizontal="center" vertical="center" wrapText="1"/>
    </xf>
    <xf numFmtId="3" fontId="4" fillId="0" borderId="0" xfId="2" applyNumberFormat="1" applyFont="1"/>
    <xf numFmtId="164" fontId="0" fillId="0" borderId="0" xfId="0" applyNumberFormat="1" applyFill="1"/>
    <xf numFmtId="0" fontId="6" fillId="0" borderId="27" xfId="0" applyFont="1" applyFill="1" applyBorder="1" applyAlignment="1">
      <alignment horizontal="left" vertical="center" wrapText="1"/>
    </xf>
    <xf numFmtId="10" fontId="16" fillId="0" borderId="96" xfId="54" applyNumberFormat="1" applyFill="1" applyBorder="1" applyAlignment="1" applyProtection="1">
      <alignment horizontal="center" vertical="center"/>
    </xf>
    <xf numFmtId="3" fontId="0" fillId="0" borderId="90" xfId="0" applyNumberFormat="1" applyFont="1" applyFill="1" applyBorder="1" applyAlignment="1">
      <alignment horizontal="center" vertical="center" wrapText="1"/>
    </xf>
    <xf numFmtId="3" fontId="6" fillId="0" borderId="0" xfId="0" applyNumberFormat="1" applyFont="1" applyAlignment="1">
      <alignment horizontal="left" vertical="center"/>
    </xf>
    <xf numFmtId="0" fontId="0" fillId="0" borderId="11" xfId="0" applyFill="1" applyBorder="1" applyAlignment="1">
      <alignment wrapText="1"/>
    </xf>
    <xf numFmtId="0" fontId="0" fillId="0" borderId="11" xfId="0" applyFill="1" applyBorder="1"/>
    <xf numFmtId="2" fontId="0" fillId="0" borderId="1" xfId="0" applyNumberFormat="1" applyFill="1" applyBorder="1" applyAlignment="1">
      <alignment horizontal="center" vertical="center"/>
    </xf>
    <xf numFmtId="0" fontId="0" fillId="0" borderId="11" xfId="0" applyFont="1" applyFill="1" applyBorder="1" applyAlignment="1">
      <alignment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10" fontId="0" fillId="0" borderId="12"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164" fontId="0" fillId="0" borderId="91" xfId="0" applyNumberFormat="1" applyFont="1" applyFill="1" applyBorder="1" applyAlignment="1">
      <alignment horizontal="center" vertical="center"/>
    </xf>
    <xf numFmtId="9" fontId="0" fillId="0" borderId="12" xfId="0" applyNumberFormat="1" applyFill="1" applyBorder="1" applyAlignment="1">
      <alignment horizontal="center" vertical="center"/>
    </xf>
    <xf numFmtId="0" fontId="6" fillId="0" borderId="11" xfId="0" applyFont="1" applyFill="1" applyBorder="1" applyAlignment="1">
      <alignment wrapText="1"/>
    </xf>
    <xf numFmtId="0" fontId="6" fillId="0" borderId="89" xfId="0" applyFont="1" applyBorder="1" applyAlignment="1">
      <alignment horizontal="center" vertical="center"/>
    </xf>
    <xf numFmtId="0" fontId="6" fillId="0" borderId="91" xfId="0" applyFont="1" applyBorder="1" applyAlignment="1">
      <alignment horizontal="center" vertical="center"/>
    </xf>
    <xf numFmtId="0" fontId="0" fillId="0" borderId="89" xfId="0" applyFont="1" applyBorder="1" applyAlignment="1">
      <alignment horizontal="center" vertical="center"/>
    </xf>
    <xf numFmtId="10" fontId="0" fillId="0" borderId="91" xfId="0" applyNumberFormat="1" applyFont="1" applyBorder="1" applyAlignment="1">
      <alignment horizontal="center" vertical="center"/>
    </xf>
    <xf numFmtId="10" fontId="0" fillId="0" borderId="94" xfId="0" applyNumberFormat="1" applyFont="1" applyBorder="1" applyAlignment="1">
      <alignment horizontal="center" vertical="center"/>
    </xf>
    <xf numFmtId="0" fontId="0" fillId="0" borderId="90" xfId="0" applyFont="1" applyFill="1" applyBorder="1" applyAlignment="1">
      <alignment horizontal="center" vertical="center"/>
    </xf>
    <xf numFmtId="3" fontId="0" fillId="0" borderId="90" xfId="0" applyNumberFormat="1" applyFont="1" applyFill="1" applyBorder="1" applyAlignment="1">
      <alignment horizontal="center" vertical="center"/>
    </xf>
    <xf numFmtId="3" fontId="13" fillId="0" borderId="90" xfId="2" applyNumberFormat="1" applyFont="1" applyFill="1" applyBorder="1" applyAlignment="1">
      <alignment horizontal="center" vertical="center"/>
    </xf>
    <xf numFmtId="175" fontId="13" fillId="0" borderId="99" xfId="2" applyNumberFormat="1" applyFont="1" applyFill="1" applyBorder="1" applyAlignment="1">
      <alignment horizontal="center" vertical="center"/>
    </xf>
    <xf numFmtId="3" fontId="13" fillId="0" borderId="89" xfId="2" applyNumberFormat="1" applyFont="1" applyFill="1" applyBorder="1" applyAlignment="1">
      <alignment horizontal="center" vertical="center"/>
    </xf>
    <xf numFmtId="3" fontId="13" fillId="0" borderId="102" xfId="2" applyNumberFormat="1" applyFont="1" applyFill="1" applyBorder="1" applyAlignment="1">
      <alignment horizontal="center" vertical="center"/>
    </xf>
    <xf numFmtId="3" fontId="13" fillId="0" borderId="112" xfId="2" applyNumberFormat="1" applyFont="1" applyFill="1" applyBorder="1" applyAlignment="1">
      <alignment horizontal="center" vertical="center"/>
    </xf>
    <xf numFmtId="3" fontId="13" fillId="0" borderId="91" xfId="2" applyNumberFormat="1" applyFont="1" applyFill="1" applyBorder="1" applyAlignment="1">
      <alignment horizontal="center" vertical="center"/>
    </xf>
    <xf numFmtId="175" fontId="13" fillId="0" borderId="91" xfId="2" applyNumberFormat="1" applyFont="1" applyFill="1" applyBorder="1" applyAlignment="1">
      <alignment horizontal="center" vertical="center"/>
    </xf>
    <xf numFmtId="3" fontId="13" fillId="0" borderId="113" xfId="2" applyNumberFormat="1" applyFont="1" applyFill="1" applyBorder="1" applyAlignment="1">
      <alignment horizontal="center" vertical="center"/>
    </xf>
    <xf numFmtId="166" fontId="0" fillId="0" borderId="99" xfId="0" applyNumberFormat="1" applyFont="1" applyFill="1" applyBorder="1" applyAlignment="1">
      <alignment horizontal="center" vertical="center"/>
    </xf>
    <xf numFmtId="177" fontId="13" fillId="0" borderId="102" xfId="2" applyNumberFormat="1" applyFont="1" applyFill="1" applyBorder="1" applyAlignment="1">
      <alignment horizontal="center" vertical="center"/>
    </xf>
    <xf numFmtId="0" fontId="6" fillId="0" borderId="8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89" xfId="0" applyFont="1" applyFill="1" applyBorder="1" applyAlignment="1">
      <alignment horizontal="center" vertical="center" wrapText="1"/>
    </xf>
    <xf numFmtId="164" fontId="0" fillId="0" borderId="75"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173" fontId="0" fillId="0" borderId="76" xfId="0" applyNumberFormat="1" applyFont="1" applyFill="1" applyBorder="1" applyAlignment="1">
      <alignment horizontal="center" vertical="center" wrapText="1"/>
    </xf>
    <xf numFmtId="0" fontId="0" fillId="0" borderId="77" xfId="0" applyNumberFormat="1" applyFont="1" applyFill="1" applyBorder="1" applyAlignment="1">
      <alignment horizontal="center" vertical="center" wrapText="1"/>
    </xf>
    <xf numFmtId="164" fontId="0" fillId="0" borderId="78" xfId="0" applyNumberFormat="1" applyFont="1" applyFill="1" applyBorder="1" applyAlignment="1">
      <alignment horizontal="center" vertical="center" wrapText="1"/>
    </xf>
    <xf numFmtId="0" fontId="6" fillId="0" borderId="89" xfId="0" applyNumberFormat="1" applyFont="1" applyFill="1" applyBorder="1" applyAlignment="1">
      <alignment horizontal="center" vertical="center" wrapText="1"/>
    </xf>
    <xf numFmtId="164" fontId="6" fillId="0" borderId="90" xfId="0" applyNumberFormat="1" applyFont="1" applyFill="1" applyBorder="1" applyAlignment="1">
      <alignment horizontal="center" vertical="center" wrapText="1"/>
    </xf>
    <xf numFmtId="173" fontId="6" fillId="0" borderId="91"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164" fontId="0" fillId="0" borderId="87" xfId="0" applyNumberFormat="1" applyFont="1" applyFill="1" applyBorder="1" applyAlignment="1">
      <alignment horizontal="center" vertical="center" wrapText="1"/>
    </xf>
    <xf numFmtId="173" fontId="0" fillId="0" borderId="88" xfId="0" applyNumberFormat="1" applyFont="1" applyFill="1" applyBorder="1" applyAlignment="1">
      <alignment horizontal="center" vertical="center" wrapText="1"/>
    </xf>
    <xf numFmtId="173" fontId="0" fillId="0" borderId="22" xfId="0" applyNumberFormat="1" applyFont="1" applyFill="1" applyBorder="1" applyAlignment="1">
      <alignment horizontal="center" vertical="center" wrapText="1"/>
    </xf>
    <xf numFmtId="0" fontId="6" fillId="0" borderId="92" xfId="0" applyNumberFormat="1" applyFont="1" applyFill="1" applyBorder="1" applyAlignment="1">
      <alignment horizontal="center" vertical="center" wrapText="1"/>
    </xf>
    <xf numFmtId="164" fontId="6" fillId="0" borderId="93" xfId="0" applyNumberFormat="1" applyFont="1" applyFill="1" applyBorder="1" applyAlignment="1">
      <alignment horizontal="center" vertical="center" wrapText="1"/>
    </xf>
    <xf numFmtId="173" fontId="6" fillId="0" borderId="94"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9" fontId="0" fillId="0" borderId="89" xfId="0" applyNumberFormat="1" applyFont="1" applyFill="1" applyBorder="1" applyAlignment="1">
      <alignment horizontal="center" vertical="center" wrapText="1"/>
    </xf>
    <xf numFmtId="9" fontId="0" fillId="0" borderId="90" xfId="0" applyNumberFormat="1" applyFont="1" applyFill="1" applyBorder="1" applyAlignment="1">
      <alignment horizontal="center" vertical="center" wrapText="1"/>
    </xf>
    <xf numFmtId="164" fontId="0" fillId="0" borderId="90" xfId="0" applyNumberFormat="1" applyFont="1" applyFill="1" applyBorder="1" applyAlignment="1">
      <alignment horizontal="center" vertical="center" wrapText="1"/>
    </xf>
    <xf numFmtId="4" fontId="0" fillId="0" borderId="91" xfId="0" applyNumberFormat="1" applyFont="1" applyFill="1" applyBorder="1" applyAlignment="1">
      <alignment horizontal="center" vertical="center" wrapText="1"/>
    </xf>
    <xf numFmtId="10" fontId="0" fillId="0" borderId="90" xfId="0" applyNumberFormat="1" applyFont="1" applyFill="1" applyBorder="1" applyAlignment="1">
      <alignment horizontal="center" vertical="center" wrapText="1"/>
    </xf>
    <xf numFmtId="10" fontId="6" fillId="0" borderId="91" xfId="0" applyNumberFormat="1" applyFont="1" applyFill="1" applyBorder="1" applyAlignment="1">
      <alignment horizontal="center" vertical="center" wrapText="1"/>
    </xf>
    <xf numFmtId="0" fontId="6" fillId="0" borderId="91" xfId="0" applyNumberFormat="1" applyFont="1" applyFill="1" applyBorder="1" applyAlignment="1">
      <alignment horizontal="center" vertical="center" wrapText="1"/>
    </xf>
    <xf numFmtId="1" fontId="0" fillId="0" borderId="89" xfId="0" applyNumberFormat="1" applyFont="1" applyFill="1" applyBorder="1" applyAlignment="1">
      <alignment horizontal="center" vertical="center" wrapText="1"/>
    </xf>
    <xf numFmtId="3" fontId="0" fillId="0" borderId="91" xfId="0" applyNumberFormat="1" applyFont="1" applyFill="1" applyBorder="1" applyAlignment="1">
      <alignment horizontal="center" vertical="center" wrapText="1"/>
    </xf>
    <xf numFmtId="9" fontId="0" fillId="0" borderId="91" xfId="0" applyNumberFormat="1"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26" borderId="89" xfId="0" applyFont="1" applyFill="1" applyBorder="1" applyAlignment="1">
      <alignment horizontal="center" vertical="center" wrapText="1"/>
    </xf>
    <xf numFmtId="0" fontId="6" fillId="26" borderId="91" xfId="0" applyFont="1" applyFill="1" applyBorder="1" applyAlignment="1">
      <alignment horizontal="center" vertical="center" wrapText="1"/>
    </xf>
    <xf numFmtId="0" fontId="6" fillId="71" borderId="89" xfId="0" applyFont="1" applyFill="1" applyBorder="1" applyAlignment="1">
      <alignment horizontal="center" vertical="center" wrapText="1"/>
    </xf>
    <xf numFmtId="0" fontId="6" fillId="71" borderId="91" xfId="0" applyFont="1" applyFill="1" applyBorder="1" applyAlignment="1">
      <alignment horizontal="center" vertical="center" wrapText="1"/>
    </xf>
    <xf numFmtId="0" fontId="6" fillId="4" borderId="102" xfId="0" applyFont="1" applyFill="1" applyBorder="1" applyAlignment="1">
      <alignment horizontal="center" vertical="center" wrapText="1"/>
    </xf>
    <xf numFmtId="0" fontId="6" fillId="4" borderId="91" xfId="0" applyFont="1" applyFill="1" applyBorder="1" applyAlignment="1">
      <alignment horizontal="center" vertical="center" wrapText="1"/>
    </xf>
    <xf numFmtId="0" fontId="0" fillId="0" borderId="107" xfId="0" applyFont="1" applyFill="1" applyBorder="1" applyAlignment="1">
      <alignment horizontal="center" vertical="center" wrapText="1"/>
    </xf>
    <xf numFmtId="3" fontId="0" fillId="26" borderId="89" xfId="0" applyNumberFormat="1" applyFont="1" applyFill="1" applyBorder="1" applyAlignment="1">
      <alignment horizontal="center" vertical="center"/>
    </xf>
    <xf numFmtId="3" fontId="0" fillId="26" borderId="91" xfId="0" applyNumberFormat="1" applyFont="1" applyFill="1" applyBorder="1" applyAlignment="1">
      <alignment horizontal="center" vertical="center"/>
    </xf>
    <xf numFmtId="3" fontId="0" fillId="71" borderId="89" xfId="0" applyNumberFormat="1" applyFont="1" applyFill="1" applyBorder="1" applyAlignment="1">
      <alignment horizontal="center" vertical="center" wrapText="1"/>
    </xf>
    <xf numFmtId="3" fontId="0" fillId="71" borderId="91" xfId="0" applyNumberFormat="1" applyFont="1" applyFill="1" applyBorder="1" applyAlignment="1">
      <alignment horizontal="center" vertical="center"/>
    </xf>
    <xf numFmtId="164" fontId="0" fillId="4" borderId="102" xfId="0" applyNumberFormat="1" applyFont="1" applyFill="1" applyBorder="1" applyAlignment="1">
      <alignment horizontal="center" vertical="center"/>
    </xf>
    <xf numFmtId="3" fontId="0" fillId="4" borderId="91" xfId="0" applyNumberFormat="1" applyFont="1" applyFill="1" applyBorder="1" applyAlignment="1">
      <alignment horizontal="center" vertical="center"/>
    </xf>
    <xf numFmtId="3" fontId="0" fillId="3" borderId="102" xfId="0" applyNumberFormat="1" applyFont="1" applyFill="1" applyBorder="1" applyAlignment="1">
      <alignment horizontal="center" vertical="center"/>
    </xf>
    <xf numFmtId="3" fontId="0" fillId="3" borderId="91" xfId="0" applyNumberFormat="1" applyFont="1" applyFill="1" applyBorder="1" applyAlignment="1">
      <alignment horizontal="center" vertical="center"/>
    </xf>
    <xf numFmtId="0" fontId="0" fillId="0" borderId="103" xfId="0" applyFont="1" applyFill="1" applyBorder="1" applyAlignment="1">
      <alignment horizontal="center" vertical="center" wrapText="1"/>
    </xf>
    <xf numFmtId="3" fontId="0" fillId="26" borderId="92" xfId="0" applyNumberFormat="1" applyFont="1" applyFill="1" applyBorder="1" applyAlignment="1">
      <alignment horizontal="center" vertical="center"/>
    </xf>
    <xf numFmtId="3" fontId="0" fillId="3" borderId="94" xfId="0" applyNumberFormat="1" applyFont="1" applyFill="1" applyBorder="1" applyAlignment="1">
      <alignment horizontal="center" vertical="center"/>
    </xf>
    <xf numFmtId="3" fontId="0" fillId="71" borderId="92" xfId="0" applyNumberFormat="1" applyFont="1" applyFill="1" applyBorder="1" applyAlignment="1">
      <alignment horizontal="center" vertical="center" wrapText="1"/>
    </xf>
    <xf numFmtId="3" fontId="0" fillId="3" borderId="108" xfId="0" applyNumberFormat="1" applyFont="1" applyFill="1" applyBorder="1" applyAlignment="1">
      <alignment horizontal="center" vertical="center"/>
    </xf>
    <xf numFmtId="171" fontId="0" fillId="0" borderId="72" xfId="0" applyNumberFormat="1" applyFont="1" applyFill="1" applyBorder="1" applyAlignment="1">
      <alignment horizontal="center" vertical="center"/>
    </xf>
    <xf numFmtId="178" fontId="0" fillId="0" borderId="110" xfId="0" applyNumberFormat="1" applyFont="1" applyFill="1" applyBorder="1" applyAlignment="1">
      <alignment horizontal="center" vertical="center"/>
    </xf>
    <xf numFmtId="164" fontId="0" fillId="0" borderId="72" xfId="0" applyNumberFormat="1" applyFont="1" applyBorder="1" applyAlignment="1">
      <alignment horizontal="center" vertical="center" wrapText="1"/>
    </xf>
    <xf numFmtId="164" fontId="0" fillId="0" borderId="110" xfId="0" applyNumberFormat="1" applyFont="1" applyFill="1" applyBorder="1" applyAlignment="1">
      <alignment horizontal="center" vertical="center" wrapText="1"/>
    </xf>
    <xf numFmtId="2" fontId="0" fillId="0" borderId="72" xfId="0" applyNumberFormat="1" applyFont="1" applyFill="1" applyBorder="1" applyAlignment="1">
      <alignment horizontal="center" vertical="center" wrapText="1"/>
    </xf>
    <xf numFmtId="2" fontId="0" fillId="0" borderId="75" xfId="0" applyNumberFormat="1" applyFont="1" applyFill="1" applyBorder="1" applyAlignment="1">
      <alignment horizontal="center" vertical="center" wrapText="1"/>
    </xf>
    <xf numFmtId="2" fontId="0" fillId="0" borderId="110" xfId="0" applyNumberFormat="1" applyFont="1" applyFill="1" applyBorder="1" applyAlignment="1">
      <alignment horizontal="center" vertical="center" wrapText="1"/>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xf>
    <xf numFmtId="10" fontId="0" fillId="0" borderId="12" xfId="0" applyNumberFormat="1" applyFont="1" applyBorder="1" applyAlignment="1">
      <alignment horizontal="center" vertical="center"/>
    </xf>
    <xf numFmtId="0" fontId="25" fillId="0" borderId="35" xfId="1" applyFont="1" applyFill="1" applyBorder="1" applyAlignment="1">
      <alignment horizontal="center" vertical="center"/>
    </xf>
    <xf numFmtId="3" fontId="13" fillId="0" borderId="99" xfId="1" applyNumberFormat="1" applyFont="1" applyFill="1" applyBorder="1" applyAlignment="1">
      <alignment horizontal="center" vertical="center"/>
    </xf>
    <xf numFmtId="3" fontId="25" fillId="0" borderId="99" xfId="1" applyNumberFormat="1" applyFont="1" applyFill="1" applyBorder="1" applyAlignment="1">
      <alignment horizontal="center" vertical="center"/>
    </xf>
    <xf numFmtId="0" fontId="25" fillId="0" borderId="10" xfId="1" applyFont="1" applyFill="1" applyBorder="1" applyAlignment="1">
      <alignment horizontal="center" vertical="center" wrapText="1"/>
    </xf>
    <xf numFmtId="10" fontId="3" fillId="0" borderId="91" xfId="2" applyNumberFormat="1" applyFill="1" applyBorder="1" applyAlignment="1">
      <alignment horizontal="center" vertical="center"/>
    </xf>
    <xf numFmtId="10" fontId="3" fillId="0" borderId="91" xfId="2" applyNumberFormat="1" applyBorder="1" applyAlignment="1">
      <alignment horizontal="center" vertical="center"/>
    </xf>
    <xf numFmtId="10" fontId="3" fillId="0" borderId="94" xfId="2" applyNumberFormat="1" applyBorder="1" applyAlignment="1">
      <alignment horizontal="center" vertical="center"/>
    </xf>
    <xf numFmtId="0" fontId="25" fillId="0" borderId="91" xfId="1" applyFont="1" applyFill="1" applyBorder="1" applyAlignment="1">
      <alignment horizontal="center" vertical="center" wrapText="1"/>
    </xf>
    <xf numFmtId="0" fontId="77" fillId="0" borderId="118" xfId="0" applyFont="1" applyFill="1" applyBorder="1" applyAlignment="1">
      <alignment horizontal="center" vertical="center" wrapText="1"/>
    </xf>
    <xf numFmtId="0" fontId="81" fillId="0" borderId="118" xfId="0" applyFont="1" applyFill="1" applyBorder="1" applyAlignment="1">
      <alignment horizontal="center" vertical="center" wrapText="1"/>
    </xf>
    <xf numFmtId="0" fontId="82" fillId="0" borderId="119" xfId="0" applyFont="1" applyFill="1" applyBorder="1" applyAlignment="1">
      <alignment horizontal="center" vertical="center" wrapText="1"/>
    </xf>
    <xf numFmtId="0" fontId="82" fillId="0" borderId="120" xfId="0" applyFont="1" applyFill="1" applyBorder="1" applyAlignment="1">
      <alignment horizontal="center" vertical="center" wrapText="1"/>
    </xf>
    <xf numFmtId="0" fontId="82" fillId="76" borderId="16" xfId="0" applyFont="1" applyFill="1" applyBorder="1" applyAlignment="1">
      <alignment horizontal="center" vertical="center" wrapText="1"/>
    </xf>
    <xf numFmtId="0" fontId="79" fillId="0" borderId="121" xfId="0" applyFont="1" applyFill="1" applyBorder="1" applyAlignment="1">
      <alignment horizontal="center" vertical="center"/>
    </xf>
    <xf numFmtId="3" fontId="79" fillId="0" borderId="28" xfId="0" applyNumberFormat="1" applyFont="1" applyFill="1" applyBorder="1" applyAlignment="1">
      <alignment horizontal="center" vertical="center"/>
    </xf>
    <xf numFmtId="0" fontId="79" fillId="0" borderId="122" xfId="0" applyFont="1" applyFill="1" applyBorder="1" applyAlignment="1">
      <alignment horizontal="center" vertical="center"/>
    </xf>
    <xf numFmtId="3" fontId="79" fillId="0" borderId="102" xfId="0" applyNumberFormat="1" applyFont="1" applyFill="1" applyBorder="1" applyAlignment="1">
      <alignment horizontal="center" vertical="center"/>
    </xf>
    <xf numFmtId="0" fontId="79" fillId="0" borderId="123" xfId="0" applyFont="1" applyFill="1" applyBorder="1" applyAlignment="1">
      <alignment horizontal="center" vertical="center"/>
    </xf>
    <xf numFmtId="3" fontId="79" fillId="0" borderId="108" xfId="0" applyNumberFormat="1" applyFont="1" applyFill="1" applyBorder="1" applyAlignment="1">
      <alignment horizontal="center" vertical="center"/>
    </xf>
    <xf numFmtId="0" fontId="79" fillId="0" borderId="124" xfId="0" applyFont="1" applyFill="1" applyBorder="1" applyAlignment="1">
      <alignment horizontal="center" vertical="center"/>
    </xf>
    <xf numFmtId="3" fontId="79" fillId="0" borderId="125" xfId="0" applyNumberFormat="1" applyFont="1" applyFill="1" applyBorder="1" applyAlignment="1">
      <alignment horizontal="center" vertical="center"/>
    </xf>
    <xf numFmtId="0" fontId="79" fillId="0" borderId="126" xfId="0" applyFont="1" applyFill="1" applyBorder="1" applyAlignment="1">
      <alignment horizontal="center" vertical="center"/>
    </xf>
    <xf numFmtId="3" fontId="79" fillId="0" borderId="127" xfId="0" applyNumberFormat="1" applyFont="1" applyFill="1" applyBorder="1" applyAlignment="1">
      <alignment horizontal="center" vertical="center"/>
    </xf>
    <xf numFmtId="3" fontId="79" fillId="77" borderId="28" xfId="0" applyNumberFormat="1" applyFont="1" applyFill="1" applyBorder="1" applyAlignment="1">
      <alignment horizontal="center" vertical="center"/>
    </xf>
    <xf numFmtId="3" fontId="79" fillId="77" borderId="33" xfId="0" applyNumberFormat="1" applyFont="1" applyFill="1" applyBorder="1" applyAlignment="1">
      <alignment horizontal="center" vertical="center"/>
    </xf>
    <xf numFmtId="0" fontId="81" fillId="0" borderId="129" xfId="0" applyFont="1" applyFill="1" applyBorder="1" applyAlignment="1">
      <alignment horizontal="center" vertical="center"/>
    </xf>
    <xf numFmtId="0" fontId="79" fillId="0" borderId="0" xfId="0" applyFont="1" applyFill="1" applyBorder="1"/>
    <xf numFmtId="3" fontId="79" fillId="0" borderId="33" xfId="0" applyNumberFormat="1" applyFont="1" applyFill="1" applyBorder="1" applyAlignment="1">
      <alignment horizontal="center" vertical="center"/>
    </xf>
    <xf numFmtId="3" fontId="79" fillId="0" borderId="113" xfId="0" applyNumberFormat="1" applyFont="1" applyFill="1" applyBorder="1" applyAlignment="1">
      <alignment horizontal="center" vertical="center"/>
    </xf>
    <xf numFmtId="3" fontId="79" fillId="0" borderId="104" xfId="0" applyNumberFormat="1" applyFont="1" applyFill="1" applyBorder="1" applyAlignment="1">
      <alignment horizontal="center" vertical="center"/>
    </xf>
    <xf numFmtId="3" fontId="79" fillId="0" borderId="128" xfId="0" applyNumberFormat="1" applyFont="1" applyFill="1" applyBorder="1" applyAlignment="1">
      <alignment horizontal="center" vertical="center"/>
    </xf>
    <xf numFmtId="3" fontId="79" fillId="0" borderId="36" xfId="0" applyNumberFormat="1" applyFont="1" applyFill="1" applyBorder="1" applyAlignment="1">
      <alignment horizontal="center" vertical="center"/>
    </xf>
    <xf numFmtId="3" fontId="79" fillId="0" borderId="112" xfId="0" applyNumberFormat="1" applyFont="1" applyFill="1" applyBorder="1" applyAlignment="1">
      <alignment horizontal="center" vertical="center"/>
    </xf>
    <xf numFmtId="3" fontId="79" fillId="0" borderId="111" xfId="0" applyNumberFormat="1" applyFont="1" applyFill="1" applyBorder="1" applyAlignment="1">
      <alignment horizontal="center" vertical="center"/>
    </xf>
    <xf numFmtId="3" fontId="79" fillId="0" borderId="136" xfId="0" applyNumberFormat="1" applyFont="1" applyFill="1" applyBorder="1" applyAlignment="1">
      <alignment horizontal="center" vertical="center"/>
    </xf>
    <xf numFmtId="3" fontId="79" fillId="0" borderId="137" xfId="0" applyNumberFormat="1" applyFont="1" applyFill="1" applyBorder="1" applyAlignment="1">
      <alignment horizontal="center" vertical="center"/>
    </xf>
    <xf numFmtId="3" fontId="79" fillId="77" borderId="36" xfId="0" applyNumberFormat="1" applyFont="1" applyFill="1" applyBorder="1" applyAlignment="1">
      <alignment horizontal="center" vertical="center"/>
    </xf>
    <xf numFmtId="3" fontId="79" fillId="0" borderId="9" xfId="0" applyNumberFormat="1" applyFont="1" applyFill="1" applyBorder="1" applyAlignment="1">
      <alignment horizontal="center" vertical="center"/>
    </xf>
    <xf numFmtId="3" fontId="79" fillId="0" borderId="89" xfId="0" applyNumberFormat="1" applyFont="1" applyFill="1" applyBorder="1" applyAlignment="1">
      <alignment horizontal="center" vertical="center"/>
    </xf>
    <xf numFmtId="3" fontId="79" fillId="0" borderId="92" xfId="0" applyNumberFormat="1" applyFont="1" applyFill="1" applyBorder="1" applyAlignment="1">
      <alignment horizontal="center" vertical="center"/>
    </xf>
    <xf numFmtId="3" fontId="79" fillId="0" borderId="105" xfId="0" applyNumberFormat="1" applyFont="1" applyFill="1" applyBorder="1" applyAlignment="1">
      <alignment horizontal="center" vertical="center"/>
    </xf>
    <xf numFmtId="3" fontId="79" fillId="0" borderId="97" xfId="0" applyNumberFormat="1" applyFont="1" applyFill="1" applyBorder="1" applyAlignment="1">
      <alignment horizontal="center" vertical="center"/>
    </xf>
    <xf numFmtId="3" fontId="79" fillId="77" borderId="9" xfId="0" applyNumberFormat="1" applyFont="1" applyFill="1" applyBorder="1" applyAlignment="1">
      <alignment horizontal="center" vertical="center"/>
    </xf>
    <xf numFmtId="172" fontId="79" fillId="0" borderId="9" xfId="0" applyNumberFormat="1" applyFont="1" applyFill="1" applyBorder="1" applyAlignment="1">
      <alignment horizontal="center" vertical="center"/>
    </xf>
    <xf numFmtId="172" fontId="79" fillId="0" borderId="89" xfId="0" applyNumberFormat="1" applyFont="1" applyFill="1" applyBorder="1" applyAlignment="1">
      <alignment horizontal="center" vertical="center"/>
    </xf>
    <xf numFmtId="172" fontId="79" fillId="0" borderId="92" xfId="0" applyNumberFormat="1" applyFont="1" applyFill="1" applyBorder="1" applyAlignment="1">
      <alignment horizontal="center" vertical="center"/>
    </xf>
    <xf numFmtId="172" fontId="79" fillId="0" borderId="105" xfId="0" applyNumberFormat="1" applyFont="1" applyFill="1" applyBorder="1" applyAlignment="1">
      <alignment horizontal="center" vertical="center"/>
    </xf>
    <xf numFmtId="172" fontId="79" fillId="0" borderId="97" xfId="0" applyNumberFormat="1" applyFont="1" applyFill="1" applyBorder="1" applyAlignment="1">
      <alignment horizontal="center" vertical="center"/>
    </xf>
    <xf numFmtId="172" fontId="79" fillId="77" borderId="9" xfId="0" applyNumberFormat="1" applyFont="1" applyFill="1" applyBorder="1" applyAlignment="1">
      <alignment horizontal="center" vertical="center"/>
    </xf>
    <xf numFmtId="0" fontId="82" fillId="76" borderId="15" xfId="0" applyFont="1" applyFill="1" applyBorder="1" applyAlignment="1">
      <alignment horizontal="center" vertical="center" wrapText="1"/>
    </xf>
    <xf numFmtId="3" fontId="79" fillId="0" borderId="10" xfId="0" applyNumberFormat="1" applyFont="1" applyFill="1" applyBorder="1" applyAlignment="1">
      <alignment horizontal="center" vertical="center"/>
    </xf>
    <xf numFmtId="3" fontId="79" fillId="0" borderId="116" xfId="0" applyNumberFormat="1" applyFont="1" applyFill="1" applyBorder="1" applyAlignment="1">
      <alignment horizontal="center" vertical="center"/>
    </xf>
    <xf numFmtId="3" fontId="6" fillId="24" borderId="7" xfId="0" applyNumberFormat="1" applyFont="1" applyFill="1" applyBorder="1" applyAlignment="1">
      <alignment horizontal="center" vertical="center"/>
    </xf>
    <xf numFmtId="166" fontId="6" fillId="24" borderId="29" xfId="0" applyNumberFormat="1" applyFont="1" applyFill="1" applyBorder="1" applyAlignment="1">
      <alignment horizontal="center" vertical="center"/>
    </xf>
    <xf numFmtId="3" fontId="25" fillId="24" borderId="7" xfId="2" applyNumberFormat="1" applyFont="1" applyFill="1" applyBorder="1" applyAlignment="1">
      <alignment horizontal="center" vertical="center"/>
    </xf>
    <xf numFmtId="175" fontId="25" fillId="24" borderId="29" xfId="2" applyNumberFormat="1" applyFont="1" applyFill="1" applyBorder="1" applyAlignment="1">
      <alignment horizontal="center" vertical="center"/>
    </xf>
    <xf numFmtId="3" fontId="25" fillId="24" borderId="28" xfId="2" applyNumberFormat="1" applyFont="1" applyFill="1" applyBorder="1" applyAlignment="1">
      <alignment horizontal="center" vertical="center"/>
    </xf>
    <xf numFmtId="177" fontId="25" fillId="24" borderId="28" xfId="2" applyNumberFormat="1" applyFont="1" applyFill="1" applyBorder="1" applyAlignment="1">
      <alignment horizontal="center" vertical="center"/>
    </xf>
    <xf numFmtId="3" fontId="25" fillId="24" borderId="36" xfId="2" applyNumberFormat="1" applyFont="1" applyFill="1" applyBorder="1" applyAlignment="1">
      <alignment horizontal="center" vertical="center"/>
    </xf>
    <xf numFmtId="3" fontId="25" fillId="24" borderId="9" xfId="2" applyNumberFormat="1" applyFont="1" applyFill="1" applyBorder="1" applyAlignment="1">
      <alignment horizontal="center" vertical="center"/>
    </xf>
    <xf numFmtId="3" fontId="25" fillId="24" borderId="10" xfId="2" applyNumberFormat="1" applyFont="1" applyFill="1" applyBorder="1" applyAlignment="1">
      <alignment horizontal="center" vertical="center"/>
    </xf>
    <xf numFmtId="175" fontId="25" fillId="24" borderId="10" xfId="2" applyNumberFormat="1" applyFont="1" applyFill="1" applyBorder="1" applyAlignment="1">
      <alignment horizontal="center" vertical="center"/>
    </xf>
    <xf numFmtId="3" fontId="13" fillId="24" borderId="28" xfId="2" applyNumberFormat="1" applyFont="1" applyFill="1" applyBorder="1" applyAlignment="1">
      <alignment horizontal="center" vertical="center"/>
    </xf>
    <xf numFmtId="177" fontId="13" fillId="24" borderId="28" xfId="2" applyNumberFormat="1" applyFont="1" applyFill="1" applyBorder="1" applyAlignment="1">
      <alignment horizontal="center" vertical="center"/>
    </xf>
    <xf numFmtId="3" fontId="13" fillId="24" borderId="33" xfId="2" applyNumberFormat="1" applyFont="1" applyFill="1" applyBorder="1" applyAlignment="1">
      <alignment horizontal="center" vertical="center"/>
    </xf>
    <xf numFmtId="3" fontId="13" fillId="24" borderId="9" xfId="2" applyNumberFormat="1" applyFont="1" applyFill="1" applyBorder="1" applyAlignment="1">
      <alignment horizontal="center" vertical="center"/>
    </xf>
    <xf numFmtId="0" fontId="0" fillId="0" borderId="93" xfId="0" applyFont="1" applyFill="1" applyBorder="1" applyAlignment="1">
      <alignment horizontal="center" vertical="center"/>
    </xf>
    <xf numFmtId="3" fontId="0" fillId="0" borderId="93" xfId="0" applyNumberFormat="1" applyFont="1" applyFill="1" applyBorder="1" applyAlignment="1">
      <alignment horizontal="center" vertical="center"/>
    </xf>
    <xf numFmtId="166" fontId="0" fillId="0" borderId="106" xfId="0" applyNumberFormat="1" applyFont="1" applyFill="1" applyBorder="1" applyAlignment="1">
      <alignment horizontal="center" vertical="center"/>
    </xf>
    <xf numFmtId="3" fontId="13" fillId="0" borderId="93" xfId="2" applyNumberFormat="1" applyFont="1" applyFill="1" applyBorder="1" applyAlignment="1">
      <alignment horizontal="center" vertical="center"/>
    </xf>
    <xf numFmtId="175" fontId="13" fillId="0" borderId="106" xfId="2" applyNumberFormat="1" applyFont="1" applyFill="1" applyBorder="1" applyAlignment="1">
      <alignment horizontal="center" vertical="center"/>
    </xf>
    <xf numFmtId="3" fontId="13" fillId="0" borderId="92" xfId="2" applyNumberFormat="1" applyFont="1" applyFill="1" applyBorder="1" applyAlignment="1">
      <alignment horizontal="center" vertical="center"/>
    </xf>
    <xf numFmtId="3" fontId="13" fillId="0" borderId="108" xfId="2" applyNumberFormat="1" applyFont="1" applyFill="1" applyBorder="1" applyAlignment="1">
      <alignment horizontal="center" vertical="center"/>
    </xf>
    <xf numFmtId="177" fontId="13" fillId="0" borderId="108" xfId="2" applyNumberFormat="1" applyFont="1" applyFill="1" applyBorder="1" applyAlignment="1">
      <alignment horizontal="center" vertical="center"/>
    </xf>
    <xf numFmtId="3" fontId="13" fillId="0" borderId="111" xfId="2" applyNumberFormat="1" applyFont="1" applyFill="1" applyBorder="1" applyAlignment="1">
      <alignment horizontal="center" vertical="center"/>
    </xf>
    <xf numFmtId="3" fontId="13" fillId="0" borderId="94" xfId="2" applyNumberFormat="1" applyFont="1" applyFill="1" applyBorder="1" applyAlignment="1">
      <alignment horizontal="center" vertical="center"/>
    </xf>
    <xf numFmtId="175" fontId="13" fillId="0" borderId="94" xfId="2" applyNumberFormat="1" applyFont="1" applyFill="1" applyBorder="1" applyAlignment="1">
      <alignment horizontal="center" vertical="center"/>
    </xf>
    <xf numFmtId="3" fontId="13" fillId="0" borderId="104" xfId="2" applyNumberFormat="1" applyFont="1" applyFill="1" applyBorder="1" applyAlignment="1">
      <alignment horizontal="center" vertical="center"/>
    </xf>
    <xf numFmtId="0" fontId="0" fillId="0" borderId="7" xfId="0" applyFont="1" applyFill="1" applyBorder="1" applyAlignment="1">
      <alignment horizontal="center" vertical="center"/>
    </xf>
    <xf numFmtId="3" fontId="0" fillId="0" borderId="7" xfId="0" applyNumberFormat="1" applyFont="1" applyFill="1" applyBorder="1" applyAlignment="1">
      <alignment horizontal="center" vertical="center"/>
    </xf>
    <xf numFmtId="175" fontId="0" fillId="0" borderId="29" xfId="0" applyNumberFormat="1" applyFont="1" applyFill="1" applyBorder="1" applyAlignment="1">
      <alignment horizontal="center" vertical="center"/>
    </xf>
    <xf numFmtId="3" fontId="13" fillId="0" borderId="7" xfId="2" applyNumberFormat="1" applyFont="1" applyFill="1" applyBorder="1" applyAlignment="1">
      <alignment horizontal="center" vertical="center"/>
    </xf>
    <xf numFmtId="175" fontId="13" fillId="0" borderId="29" xfId="2" applyNumberFormat="1" applyFont="1" applyFill="1" applyBorder="1" applyAlignment="1">
      <alignment horizontal="center" vertical="center"/>
    </xf>
    <xf numFmtId="3" fontId="13" fillId="0" borderId="9" xfId="2" applyNumberFormat="1" applyFont="1" applyFill="1" applyBorder="1" applyAlignment="1">
      <alignment horizontal="center" vertical="center"/>
    </xf>
    <xf numFmtId="3" fontId="13" fillId="0" borderId="28" xfId="2" applyNumberFormat="1" applyFont="1" applyFill="1" applyBorder="1" applyAlignment="1">
      <alignment horizontal="center" vertical="center"/>
    </xf>
    <xf numFmtId="175" fontId="13" fillId="0" borderId="28" xfId="2" applyNumberFormat="1" applyFont="1" applyFill="1" applyBorder="1" applyAlignment="1">
      <alignment horizontal="center" vertical="center"/>
    </xf>
    <xf numFmtId="3" fontId="13" fillId="0" borderId="36" xfId="2" applyNumberFormat="1" applyFont="1" applyFill="1" applyBorder="1" applyAlignment="1">
      <alignment horizontal="center" vertical="center"/>
    </xf>
    <xf numFmtId="3" fontId="13" fillId="0" borderId="10" xfId="2" applyNumberFormat="1" applyFont="1" applyFill="1" applyBorder="1" applyAlignment="1">
      <alignment horizontal="center" vertical="center"/>
    </xf>
    <xf numFmtId="175" fontId="13" fillId="0" borderId="10" xfId="2" applyNumberFormat="1" applyFont="1" applyFill="1" applyBorder="1" applyAlignment="1">
      <alignment horizontal="center" vertical="center"/>
    </xf>
    <xf numFmtId="3" fontId="13" fillId="0" borderId="33" xfId="2" applyNumberFormat="1" applyFont="1" applyFill="1" applyBorder="1" applyAlignment="1">
      <alignment horizontal="center" vertical="center"/>
    </xf>
    <xf numFmtId="0" fontId="27" fillId="25" borderId="15" xfId="0" applyFont="1" applyFill="1" applyBorder="1" applyAlignment="1">
      <alignment horizontal="center" vertical="center" wrapText="1"/>
    </xf>
    <xf numFmtId="0" fontId="27" fillId="25" borderId="117" xfId="0" applyFont="1" applyFill="1" applyBorder="1" applyAlignment="1">
      <alignment horizontal="center" vertical="center" wrapText="1"/>
    </xf>
    <xf numFmtId="0" fontId="27" fillId="25" borderId="120"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3" fontId="0" fillId="27" borderId="17" xfId="0" applyNumberFormat="1" applyFont="1" applyFill="1" applyBorder="1" applyAlignment="1">
      <alignment horizontal="center" vertical="center"/>
    </xf>
    <xf numFmtId="3" fontId="0" fillId="27" borderId="81" xfId="0" applyNumberFormat="1" applyFont="1" applyFill="1" applyBorder="1" applyAlignment="1">
      <alignment horizontal="center" vertical="center"/>
    </xf>
    <xf numFmtId="9" fontId="0" fillId="0" borderId="82" xfId="0" applyNumberFormat="1" applyFont="1" applyFill="1" applyBorder="1" applyAlignment="1">
      <alignment horizontal="center" vertical="center"/>
    </xf>
    <xf numFmtId="3" fontId="0" fillId="27" borderId="84" xfId="0" applyNumberFormat="1" applyFont="1" applyFill="1" applyBorder="1" applyAlignment="1">
      <alignment horizontal="center" vertical="center"/>
    </xf>
    <xf numFmtId="9" fontId="0" fillId="0" borderId="85" xfId="0" applyNumberFormat="1" applyFont="1" applyFill="1" applyBorder="1" applyAlignment="1">
      <alignment horizontal="center" vertical="center"/>
    </xf>
    <xf numFmtId="3" fontId="0" fillId="27" borderId="90" xfId="0" applyNumberFormat="1" applyFont="1" applyFill="1" applyBorder="1" applyAlignment="1">
      <alignment horizontal="center" vertical="center"/>
    </xf>
    <xf numFmtId="3" fontId="0" fillId="27" borderId="3" xfId="0" applyNumberFormat="1" applyFont="1" applyFill="1" applyBorder="1" applyAlignment="1">
      <alignment horizontal="center" vertical="center"/>
    </xf>
    <xf numFmtId="3" fontId="0" fillId="27" borderId="75" xfId="0" applyNumberFormat="1" applyFont="1" applyFill="1" applyBorder="1" applyAlignment="1">
      <alignment horizontal="center" vertical="center"/>
    </xf>
    <xf numFmtId="9" fontId="0" fillId="0" borderId="76" xfId="0" applyNumberFormat="1" applyFont="1" applyFill="1" applyBorder="1" applyAlignment="1">
      <alignment horizontal="center" vertical="center"/>
    </xf>
    <xf numFmtId="9" fontId="0" fillId="0" borderId="91" xfId="0" applyNumberFormat="1" applyFont="1" applyFill="1" applyBorder="1" applyAlignment="1">
      <alignment horizontal="center" vertical="center"/>
    </xf>
    <xf numFmtId="3" fontId="0" fillId="27" borderId="93" xfId="0" applyNumberFormat="1" applyFont="1" applyFill="1" applyBorder="1" applyAlignment="1">
      <alignment horizontal="center" vertical="center"/>
    </xf>
    <xf numFmtId="9" fontId="0" fillId="0" borderId="94" xfId="0" applyNumberFormat="1" applyFont="1" applyFill="1" applyBorder="1" applyAlignment="1">
      <alignment horizontal="center" vertical="center"/>
    </xf>
    <xf numFmtId="0" fontId="30" fillId="25" borderId="23" xfId="0" applyFont="1" applyFill="1" applyBorder="1" applyAlignment="1">
      <alignment horizontal="center" vertical="center" wrapText="1"/>
    </xf>
    <xf numFmtId="0" fontId="30" fillId="25" borderId="6" xfId="0" applyFont="1" applyFill="1" applyBorder="1" applyAlignment="1">
      <alignment horizontal="center" vertical="center"/>
    </xf>
    <xf numFmtId="9" fontId="0" fillId="0" borderId="73" xfId="0" applyNumberFormat="1" applyFont="1" applyFill="1" applyBorder="1" applyAlignment="1">
      <alignment horizontal="center" vertical="center"/>
    </xf>
    <xf numFmtId="9" fontId="0" fillId="0" borderId="79" xfId="0" applyNumberFormat="1" applyFont="1" applyFill="1" applyBorder="1" applyAlignment="1">
      <alignment horizontal="center" vertical="center"/>
    </xf>
    <xf numFmtId="3" fontId="0" fillId="0" borderId="3"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10" fontId="0" fillId="0" borderId="22" xfId="0" applyNumberFormat="1" applyFont="1" applyFill="1" applyBorder="1" applyAlignment="1">
      <alignment horizontal="center" vertical="center"/>
    </xf>
    <xf numFmtId="3" fontId="0" fillId="27" borderId="72" xfId="0" applyNumberFormat="1" applyFont="1" applyFill="1" applyBorder="1" applyAlignment="1">
      <alignment horizontal="center" vertical="center"/>
    </xf>
    <xf numFmtId="3" fontId="0" fillId="27" borderId="78" xfId="0" applyNumberFormat="1" applyFont="1" applyFill="1" applyBorder="1" applyAlignment="1">
      <alignment horizontal="center" vertical="center"/>
    </xf>
    <xf numFmtId="3" fontId="0" fillId="27" borderId="98" xfId="0" applyNumberFormat="1" applyFont="1" applyFill="1" applyBorder="1" applyAlignment="1">
      <alignment horizontal="center" vertical="center"/>
    </xf>
    <xf numFmtId="0" fontId="9" fillId="27" borderId="17" xfId="1" applyFont="1" applyFill="1" applyBorder="1" applyAlignment="1">
      <alignment vertical="center"/>
    </xf>
    <xf numFmtId="10" fontId="13" fillId="0" borderId="9" xfId="3" applyNumberFormat="1" applyFont="1" applyFill="1" applyBorder="1" applyAlignment="1">
      <alignment horizontal="center" vertical="center"/>
    </xf>
    <xf numFmtId="10" fontId="13" fillId="0" borderId="92" xfId="3" applyNumberFormat="1" applyFont="1" applyFill="1" applyBorder="1" applyAlignment="1">
      <alignment horizontal="center" vertical="center"/>
    </xf>
    <xf numFmtId="10" fontId="13" fillId="0" borderId="89" xfId="3"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0" fillId="0" borderId="117" xfId="0" applyFont="1" applyFill="1" applyBorder="1" applyAlignment="1">
      <alignment horizontal="center" vertical="center"/>
    </xf>
    <xf numFmtId="3" fontId="0" fillId="0" borderId="117" xfId="0" applyNumberFormat="1" applyFont="1" applyFill="1" applyBorder="1" applyAlignment="1">
      <alignment horizontal="center" vertical="center"/>
    </xf>
    <xf numFmtId="166" fontId="0" fillId="0" borderId="120" xfId="0" applyNumberFormat="1" applyFont="1" applyFill="1" applyBorder="1" applyAlignment="1">
      <alignment horizontal="center" vertical="center"/>
    </xf>
    <xf numFmtId="3" fontId="13" fillId="0" borderId="117" xfId="2" applyNumberFormat="1" applyFont="1" applyFill="1" applyBorder="1" applyAlignment="1">
      <alignment horizontal="center" vertical="center"/>
    </xf>
    <xf numFmtId="175" fontId="13" fillId="0" borderId="120" xfId="2" applyNumberFormat="1" applyFont="1" applyFill="1" applyBorder="1" applyAlignment="1">
      <alignment horizontal="center" vertical="center"/>
    </xf>
    <xf numFmtId="3" fontId="13" fillId="0" borderId="15" xfId="2" applyNumberFormat="1" applyFont="1" applyFill="1" applyBorder="1" applyAlignment="1">
      <alignment horizontal="center" vertical="center"/>
    </xf>
    <xf numFmtId="3" fontId="13" fillId="0" borderId="119" xfId="2" applyNumberFormat="1" applyFont="1" applyFill="1" applyBorder="1" applyAlignment="1">
      <alignment horizontal="center" vertical="center"/>
    </xf>
    <xf numFmtId="175" fontId="13" fillId="0" borderId="119" xfId="2" applyNumberFormat="1" applyFont="1" applyFill="1" applyBorder="1" applyAlignment="1">
      <alignment horizontal="center" vertical="center"/>
    </xf>
    <xf numFmtId="3" fontId="13" fillId="0" borderId="135" xfId="2" applyNumberFormat="1" applyFont="1" applyFill="1" applyBorder="1" applyAlignment="1">
      <alignment horizontal="center" vertical="center"/>
    </xf>
    <xf numFmtId="3" fontId="13" fillId="0" borderId="16" xfId="2" applyNumberFormat="1" applyFont="1" applyFill="1" applyBorder="1" applyAlignment="1">
      <alignment horizontal="center" vertical="center"/>
    </xf>
    <xf numFmtId="10" fontId="13" fillId="0" borderId="15" xfId="3" applyNumberFormat="1" applyFont="1" applyFill="1" applyBorder="1" applyAlignment="1">
      <alignment horizontal="center" vertical="center"/>
    </xf>
    <xf numFmtId="175" fontId="13" fillId="0" borderId="16" xfId="2" applyNumberFormat="1" applyFont="1" applyFill="1" applyBorder="1" applyAlignment="1">
      <alignment horizontal="center" vertical="center"/>
    </xf>
    <xf numFmtId="3" fontId="13" fillId="0" borderId="141" xfId="2" applyNumberFormat="1" applyFont="1" applyFill="1" applyBorder="1" applyAlignment="1">
      <alignment horizontal="center" vertical="center"/>
    </xf>
    <xf numFmtId="3" fontId="21" fillId="29" borderId="101" xfId="0" applyNumberFormat="1" applyFont="1" applyFill="1" applyBorder="1" applyAlignment="1">
      <alignment horizontal="center" vertical="center"/>
    </xf>
    <xf numFmtId="175" fontId="21" fillId="29" borderId="131" xfId="2" applyNumberFormat="1" applyFont="1" applyFill="1" applyBorder="1" applyAlignment="1">
      <alignment horizontal="center" vertical="center"/>
    </xf>
    <xf numFmtId="3" fontId="21" fillId="29" borderId="100" xfId="0" applyNumberFormat="1" applyFont="1" applyFill="1" applyBorder="1" applyAlignment="1">
      <alignment horizontal="center" vertical="center"/>
    </xf>
    <xf numFmtId="10" fontId="21" fillId="29" borderId="101" xfId="2" applyNumberFormat="1" applyFont="1" applyFill="1" applyBorder="1" applyAlignment="1">
      <alignment horizontal="center" vertical="center"/>
    </xf>
    <xf numFmtId="175" fontId="21" fillId="29" borderId="17" xfId="2" applyNumberFormat="1" applyFont="1" applyFill="1" applyBorder="1" applyAlignment="1">
      <alignment horizontal="center" vertical="center"/>
    </xf>
    <xf numFmtId="3" fontId="21" fillId="29" borderId="130" xfId="0" applyNumberFormat="1" applyFont="1" applyFill="1" applyBorder="1" applyAlignment="1">
      <alignment horizontal="center" vertical="center"/>
    </xf>
    <xf numFmtId="3" fontId="6" fillId="0" borderId="7"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4" fontId="6" fillId="0" borderId="91" xfId="0" applyNumberFormat="1" applyFont="1" applyFill="1" applyBorder="1" applyAlignment="1">
      <alignment horizontal="center" vertical="center"/>
    </xf>
    <xf numFmtId="9" fontId="6" fillId="0" borderId="91" xfId="0" applyNumberFormat="1" applyFont="1" applyFill="1" applyBorder="1" applyAlignment="1">
      <alignment horizontal="center" vertical="center"/>
    </xf>
    <xf numFmtId="0" fontId="13" fillId="27" borderId="90" xfId="2" applyFont="1" applyFill="1" applyBorder="1" applyAlignment="1">
      <alignment horizontal="center" vertical="center"/>
    </xf>
    <xf numFmtId="0" fontId="13" fillId="0" borderId="89" xfId="2" applyFont="1" applyBorder="1"/>
    <xf numFmtId="0" fontId="13" fillId="27" borderId="91" xfId="2" applyFont="1" applyFill="1" applyBorder="1" applyAlignment="1">
      <alignment horizontal="center" vertical="center"/>
    </xf>
    <xf numFmtId="0" fontId="13" fillId="0" borderId="91" xfId="2" applyFont="1" applyBorder="1" applyAlignment="1">
      <alignment horizontal="center" vertical="center"/>
    </xf>
    <xf numFmtId="3" fontId="13" fillId="27" borderId="90" xfId="2" applyNumberFormat="1" applyFont="1" applyFill="1" applyBorder="1" applyAlignment="1">
      <alignment horizontal="center" vertical="center"/>
    </xf>
    <xf numFmtId="0" fontId="13" fillId="27" borderId="114" xfId="2" applyFont="1" applyFill="1" applyBorder="1" applyAlignment="1">
      <alignment horizontal="center" vertical="center"/>
    </xf>
    <xf numFmtId="0" fontId="13" fillId="27" borderId="116" xfId="2" applyFont="1" applyFill="1" applyBorder="1" applyAlignment="1">
      <alignment horizontal="center" vertical="center"/>
    </xf>
    <xf numFmtId="3" fontId="13" fillId="27" borderId="7" xfId="2" applyNumberFormat="1" applyFont="1" applyFill="1" applyBorder="1" applyAlignment="1">
      <alignment horizontal="center" vertical="center"/>
    </xf>
    <xf numFmtId="0" fontId="13" fillId="27" borderId="10" xfId="2" applyFont="1" applyFill="1" applyBorder="1" applyAlignment="1">
      <alignment horizontal="center" vertical="center"/>
    </xf>
    <xf numFmtId="0" fontId="0" fillId="0" borderId="3" xfId="0" applyFont="1" applyFill="1" applyBorder="1" applyAlignment="1">
      <alignment horizontal="center" vertical="center"/>
    </xf>
    <xf numFmtId="166" fontId="0" fillId="0" borderId="142" xfId="0" applyNumberFormat="1" applyFont="1" applyFill="1" applyBorder="1" applyAlignment="1">
      <alignment horizontal="center" vertical="center"/>
    </xf>
    <xf numFmtId="10" fontId="13" fillId="0" borderId="21" xfId="3" applyNumberFormat="1" applyFont="1" applyFill="1" applyBorder="1" applyAlignment="1">
      <alignment horizontal="center" vertical="center"/>
    </xf>
    <xf numFmtId="3" fontId="13" fillId="0" borderId="3" xfId="2" applyNumberFormat="1" applyFont="1" applyFill="1" applyBorder="1" applyAlignment="1">
      <alignment horizontal="center" vertical="center"/>
    </xf>
    <xf numFmtId="175" fontId="13" fillId="0" borderId="142"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3" fillId="0" borderId="143" xfId="2" applyNumberFormat="1" applyFont="1" applyFill="1" applyBorder="1" applyAlignment="1">
      <alignment horizontal="center" vertical="center"/>
    </xf>
    <xf numFmtId="175" fontId="13" fillId="0" borderId="143"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3" fillId="0" borderId="22" xfId="2" applyNumberFormat="1" applyFont="1" applyFill="1" applyBorder="1" applyAlignment="1">
      <alignment horizontal="center" vertical="center"/>
    </xf>
    <xf numFmtId="175" fontId="13" fillId="0" borderId="22" xfId="2" applyNumberFormat="1" applyFont="1" applyFill="1" applyBorder="1" applyAlignment="1">
      <alignment horizontal="center" vertical="center"/>
    </xf>
    <xf numFmtId="3" fontId="13" fillId="0" borderId="144" xfId="2" applyNumberFormat="1" applyFont="1" applyFill="1" applyBorder="1" applyAlignment="1">
      <alignment horizontal="center" vertical="center"/>
    </xf>
    <xf numFmtId="0" fontId="6" fillId="0" borderId="100" xfId="0" applyFont="1" applyFill="1" applyBorder="1" applyAlignment="1">
      <alignment horizontal="center" vertical="center" wrapText="1"/>
    </xf>
    <xf numFmtId="0" fontId="0" fillId="0" borderId="101" xfId="0" applyFont="1" applyFill="1" applyBorder="1" applyAlignment="1">
      <alignment horizontal="center" vertical="center"/>
    </xf>
    <xf numFmtId="3" fontId="0" fillId="0" borderId="101" xfId="0" applyNumberFormat="1" applyFont="1" applyFill="1" applyBorder="1" applyAlignment="1">
      <alignment horizontal="center" vertical="center"/>
    </xf>
    <xf numFmtId="166" fontId="0" fillId="0" borderId="131" xfId="0" applyNumberFormat="1" applyFont="1" applyFill="1" applyBorder="1" applyAlignment="1">
      <alignment horizontal="center" vertical="center"/>
    </xf>
    <xf numFmtId="10" fontId="13" fillId="0" borderId="100" xfId="3" applyNumberFormat="1" applyFont="1" applyFill="1" applyBorder="1" applyAlignment="1">
      <alignment horizontal="center" vertical="center"/>
    </xf>
    <xf numFmtId="3" fontId="13" fillId="0" borderId="101" xfId="2" applyNumberFormat="1" applyFont="1" applyFill="1" applyBorder="1" applyAlignment="1">
      <alignment horizontal="center" vertical="center"/>
    </xf>
    <xf numFmtId="175" fontId="13" fillId="0" borderId="131" xfId="2" applyNumberFormat="1" applyFont="1" applyFill="1" applyBorder="1" applyAlignment="1">
      <alignment horizontal="center" vertical="center"/>
    </xf>
    <xf numFmtId="3" fontId="13" fillId="0" borderId="100" xfId="2" applyNumberFormat="1" applyFont="1" applyFill="1" applyBorder="1" applyAlignment="1">
      <alignment horizontal="center" vertical="center"/>
    </xf>
    <xf numFmtId="3" fontId="13" fillId="0" borderId="130" xfId="2" applyNumberFormat="1" applyFont="1" applyFill="1" applyBorder="1" applyAlignment="1">
      <alignment horizontal="center" vertical="center"/>
    </xf>
    <xf numFmtId="177" fontId="13" fillId="0" borderId="130" xfId="2"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175" fontId="13" fillId="0" borderId="17" xfId="2" applyNumberFormat="1" applyFont="1" applyFill="1" applyBorder="1" applyAlignment="1">
      <alignment horizontal="center" vertical="center"/>
    </xf>
    <xf numFmtId="3" fontId="13" fillId="0" borderId="31" xfId="2" applyNumberFormat="1" applyFont="1" applyFill="1" applyBorder="1" applyAlignment="1">
      <alignment horizontal="center" vertical="center"/>
    </xf>
    <xf numFmtId="177" fontId="13" fillId="0" borderId="143" xfId="2" applyNumberFormat="1" applyFont="1" applyFill="1" applyBorder="1" applyAlignment="1">
      <alignment horizontal="center" vertical="center"/>
    </xf>
    <xf numFmtId="0" fontId="6" fillId="6" borderId="9" xfId="2" applyFont="1" applyFill="1" applyBorder="1" applyAlignment="1">
      <alignment horizontal="center" vertical="center" wrapText="1"/>
    </xf>
    <xf numFmtId="0" fontId="6" fillId="6" borderId="7" xfId="2" applyFont="1" applyFill="1" applyBorder="1" applyAlignment="1">
      <alignment horizontal="center" vertical="center" wrapText="1"/>
    </xf>
    <xf numFmtId="0" fontId="6" fillId="6" borderId="10" xfId="2" applyFont="1" applyFill="1" applyBorder="1" applyAlignment="1">
      <alignment horizontal="center" vertical="center" wrapText="1"/>
    </xf>
    <xf numFmtId="0" fontId="78" fillId="25" borderId="9" xfId="2" applyFont="1" applyFill="1" applyBorder="1" applyAlignment="1">
      <alignment horizontal="center" vertical="center" wrapText="1"/>
    </xf>
    <xf numFmtId="0" fontId="78" fillId="25" borderId="7" xfId="2" applyFont="1" applyFill="1" applyBorder="1" applyAlignment="1">
      <alignment horizontal="center" vertical="center" wrapText="1"/>
    </xf>
    <xf numFmtId="0" fontId="78" fillId="25" borderId="10" xfId="2" applyFont="1" applyFill="1" applyBorder="1" applyAlignment="1">
      <alignment horizontal="center" vertical="center" wrapText="1"/>
    </xf>
    <xf numFmtId="0" fontId="85" fillId="0" borderId="0" xfId="2" applyFont="1"/>
    <xf numFmtId="0" fontId="6" fillId="0" borderId="138"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139" xfId="0" applyFont="1" applyFill="1" applyBorder="1" applyAlignment="1">
      <alignment horizontal="center" vertical="center" wrapText="1"/>
    </xf>
    <xf numFmtId="0" fontId="87" fillId="0" borderId="32" xfId="78" applyFont="1" applyFill="1" applyBorder="1" applyAlignment="1">
      <alignment horizontal="center" vertical="center" wrapText="1"/>
    </xf>
    <xf numFmtId="0" fontId="88" fillId="0" borderId="0" xfId="0" applyFont="1" applyAlignment="1">
      <alignment horizontal="left" vertical="center"/>
    </xf>
    <xf numFmtId="10" fontId="87" fillId="0" borderId="96" xfId="78" applyNumberFormat="1" applyFont="1" applyFill="1" applyBorder="1" applyAlignment="1" applyProtection="1">
      <alignment horizontal="center" vertical="center"/>
    </xf>
    <xf numFmtId="0" fontId="88" fillId="0" borderId="0" xfId="0" applyFont="1"/>
    <xf numFmtId="0" fontId="87" fillId="0" borderId="96" xfId="54" applyNumberFormat="1" applyFont="1" applyFill="1" applyBorder="1" applyAlignment="1" applyProtection="1">
      <alignment horizontal="center" vertical="center"/>
    </xf>
    <xf numFmtId="0" fontId="20" fillId="0" borderId="14" xfId="78" applyFill="1" applyBorder="1" applyAlignment="1">
      <alignment horizontal="center" vertical="center" wrapText="1"/>
    </xf>
    <xf numFmtId="0" fontId="6" fillId="0" borderId="89" xfId="0" applyFont="1" applyFill="1" applyBorder="1" applyAlignment="1">
      <alignment wrapText="1"/>
    </xf>
    <xf numFmtId="1" fontId="6" fillId="0" borderId="89" xfId="0" applyNumberFormat="1" applyFont="1" applyFill="1" applyBorder="1" applyAlignment="1">
      <alignment horizontal="center" vertical="center" wrapText="1"/>
    </xf>
    <xf numFmtId="3" fontId="6" fillId="0" borderId="9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0" fontId="6" fillId="26" borderId="117" xfId="0" applyFont="1" applyFill="1" applyBorder="1" applyAlignment="1">
      <alignment horizontal="center" vertical="center" wrapText="1"/>
    </xf>
    <xf numFmtId="0" fontId="6" fillId="26" borderId="120" xfId="0" applyFont="1" applyFill="1" applyBorder="1" applyAlignment="1">
      <alignment horizontal="center" vertical="center" wrapText="1"/>
    </xf>
    <xf numFmtId="3" fontId="6" fillId="26" borderId="101" xfId="0" applyNumberFormat="1" applyFont="1" applyFill="1" applyBorder="1" applyAlignment="1">
      <alignment horizontal="center" vertical="center"/>
    </xf>
    <xf numFmtId="3" fontId="6" fillId="29" borderId="131" xfId="0" applyNumberFormat="1" applyFont="1" applyFill="1" applyBorder="1" applyAlignment="1">
      <alignment horizontal="center" vertical="center"/>
    </xf>
    <xf numFmtId="0" fontId="6" fillId="71" borderId="15" xfId="2" applyFont="1" applyFill="1" applyBorder="1" applyAlignment="1">
      <alignment horizontal="center" vertical="center" wrapText="1"/>
    </xf>
    <xf numFmtId="0" fontId="6" fillId="71" borderId="117" xfId="2" applyFont="1" applyFill="1" applyBorder="1" applyAlignment="1">
      <alignment horizontal="center" vertical="center" wrapText="1"/>
    </xf>
    <xf numFmtId="0" fontId="6" fillId="71" borderId="120" xfId="2" applyFont="1" applyFill="1" applyBorder="1" applyAlignment="1">
      <alignment horizontal="center" vertical="center" wrapText="1"/>
    </xf>
    <xf numFmtId="0" fontId="6" fillId="71" borderId="16" xfId="2" applyFont="1" applyFill="1" applyBorder="1" applyAlignment="1">
      <alignment horizontal="center" vertical="center" wrapText="1"/>
    </xf>
    <xf numFmtId="10" fontId="6" fillId="71" borderId="100" xfId="3" applyNumberFormat="1" applyFont="1" applyFill="1" applyBorder="1" applyAlignment="1">
      <alignment horizontal="center" vertical="center"/>
    </xf>
    <xf numFmtId="3" fontId="6" fillId="71" borderId="101" xfId="0" applyNumberFormat="1" applyFont="1" applyFill="1" applyBorder="1" applyAlignment="1">
      <alignment horizontal="center" vertical="center"/>
    </xf>
    <xf numFmtId="3" fontId="6" fillId="71" borderId="131" xfId="0" applyNumberFormat="1" applyFont="1" applyFill="1" applyBorder="1" applyAlignment="1">
      <alignment horizontal="center" vertical="center"/>
    </xf>
    <xf numFmtId="3" fontId="6" fillId="71" borderId="100" xfId="0" applyNumberFormat="1" applyFont="1" applyFill="1" applyBorder="1" applyAlignment="1">
      <alignment horizontal="center" vertical="center"/>
    </xf>
    <xf numFmtId="3" fontId="6" fillId="71" borderId="17" xfId="0" applyNumberFormat="1" applyFont="1" applyFill="1" applyBorder="1" applyAlignment="1">
      <alignment horizontal="center" vertical="center"/>
    </xf>
    <xf numFmtId="0" fontId="6" fillId="5" borderId="15" xfId="2" applyFont="1" applyFill="1" applyBorder="1" applyAlignment="1">
      <alignment horizontal="center" vertical="center" wrapText="1"/>
    </xf>
    <xf numFmtId="0" fontId="6" fillId="5" borderId="117" xfId="2" applyFont="1" applyFill="1" applyBorder="1" applyAlignment="1">
      <alignment horizontal="center" vertical="center" wrapText="1"/>
    </xf>
    <xf numFmtId="0" fontId="6" fillId="5" borderId="16" xfId="2" applyFont="1" applyFill="1" applyBorder="1" applyAlignment="1">
      <alignment horizontal="center" vertical="center" wrapText="1"/>
    </xf>
    <xf numFmtId="0" fontId="6" fillId="5" borderId="119" xfId="2" applyFont="1" applyFill="1" applyBorder="1" applyAlignment="1">
      <alignment horizontal="center" vertical="center" wrapText="1"/>
    </xf>
    <xf numFmtId="0" fontId="6" fillId="5" borderId="141" xfId="2" applyFont="1" applyFill="1" applyBorder="1" applyAlignment="1">
      <alignment horizontal="center" vertical="center" wrapText="1"/>
    </xf>
    <xf numFmtId="10" fontId="6" fillId="5" borderId="100" xfId="2" applyNumberFormat="1" applyFont="1" applyFill="1" applyBorder="1" applyAlignment="1">
      <alignment horizontal="center" vertical="center"/>
    </xf>
    <xf numFmtId="3" fontId="6" fillId="5" borderId="101" xfId="0" applyNumberFormat="1" applyFont="1" applyFill="1" applyBorder="1" applyAlignment="1">
      <alignment horizontal="center" vertical="center"/>
    </xf>
    <xf numFmtId="3" fontId="6" fillId="5" borderId="17" xfId="0" applyNumberFormat="1" applyFont="1" applyFill="1" applyBorder="1" applyAlignment="1">
      <alignment horizontal="center" vertical="center"/>
    </xf>
    <xf numFmtId="3" fontId="6" fillId="5" borderId="100"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106" xfId="0" applyNumberFormat="1" applyFont="1" applyFill="1" applyBorder="1" applyAlignment="1">
      <alignment horizontal="center" vertical="center"/>
    </xf>
    <xf numFmtId="3" fontId="0" fillId="0" borderId="142" xfId="0" applyNumberFormat="1" applyFont="1" applyFill="1" applyBorder="1" applyAlignment="1">
      <alignment horizontal="center" vertical="center"/>
    </xf>
    <xf numFmtId="3" fontId="0" fillId="0" borderId="131" xfId="0" applyNumberFormat="1" applyFont="1" applyFill="1" applyBorder="1" applyAlignment="1">
      <alignment horizontal="center" vertical="center"/>
    </xf>
    <xf numFmtId="3" fontId="0" fillId="0" borderId="99" xfId="0" applyNumberFormat="1" applyFont="1" applyFill="1" applyBorder="1" applyAlignment="1">
      <alignment horizontal="center" vertical="center"/>
    </xf>
    <xf numFmtId="3" fontId="0" fillId="0" borderId="120" xfId="0" applyNumberFormat="1" applyFont="1" applyFill="1" applyBorder="1" applyAlignment="1">
      <alignment horizontal="center" vertical="center"/>
    </xf>
    <xf numFmtId="0" fontId="6" fillId="26" borderId="15" xfId="0" applyFont="1" applyFill="1" applyBorder="1" applyAlignment="1">
      <alignment horizontal="center" vertical="center" wrapText="1"/>
    </xf>
    <xf numFmtId="3" fontId="0" fillId="0" borderId="9" xfId="0" applyNumberFormat="1" applyFont="1" applyFill="1" applyBorder="1" applyAlignment="1">
      <alignment horizontal="center" vertical="center"/>
    </xf>
    <xf numFmtId="3" fontId="0" fillId="0" borderId="92" xfId="0" applyNumberFormat="1"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100" xfId="0" applyNumberFormat="1" applyFont="1" applyFill="1" applyBorder="1" applyAlignment="1">
      <alignment horizontal="center" vertical="center"/>
    </xf>
    <xf numFmtId="3" fontId="0" fillId="0" borderId="89" xfId="0" applyNumberFormat="1" applyFont="1" applyFill="1" applyBorder="1" applyAlignment="1">
      <alignment horizontal="center" vertical="center"/>
    </xf>
    <xf numFmtId="3" fontId="6" fillId="29" borderId="100" xfId="0" applyNumberFormat="1" applyFont="1" applyFill="1" applyBorder="1" applyAlignment="1">
      <alignment horizontal="center" vertical="center"/>
    </xf>
    <xf numFmtId="171" fontId="0" fillId="0" borderId="0" xfId="0" applyNumberFormat="1"/>
    <xf numFmtId="180" fontId="0" fillId="0" borderId="0" xfId="0" applyNumberFormat="1"/>
    <xf numFmtId="164" fontId="6" fillId="0" borderId="146" xfId="0" applyNumberFormat="1" applyFont="1" applyFill="1" applyBorder="1" applyAlignment="1">
      <alignment horizontal="center" vertical="center"/>
    </xf>
    <xf numFmtId="164" fontId="4" fillId="0" borderId="0" xfId="2" applyNumberFormat="1" applyFont="1"/>
    <xf numFmtId="3" fontId="13" fillId="0" borderId="0" xfId="2" applyNumberFormat="1" applyFont="1" applyAlignment="1">
      <alignment horizontal="center"/>
    </xf>
    <xf numFmtId="3" fontId="13" fillId="0" borderId="146" xfId="2" applyNumberFormat="1" applyFont="1" applyFill="1" applyBorder="1" applyAlignment="1">
      <alignment horizontal="center" vertical="center"/>
    </xf>
    <xf numFmtId="3" fontId="25" fillId="0" borderId="146" xfId="2" applyNumberFormat="1" applyFont="1" applyFill="1" applyBorder="1" applyAlignment="1">
      <alignment horizontal="center" vertical="center"/>
    </xf>
    <xf numFmtId="3" fontId="25" fillId="0" borderId="146" xfId="2" applyNumberFormat="1" applyFont="1" applyFill="1" applyBorder="1" applyAlignment="1">
      <alignment horizontal="center" vertical="center" wrapText="1"/>
    </xf>
    <xf numFmtId="164" fontId="25" fillId="0" borderId="146" xfId="2" applyNumberFormat="1" applyFont="1" applyFill="1" applyBorder="1" applyAlignment="1">
      <alignment horizontal="center" vertical="center"/>
    </xf>
    <xf numFmtId="9" fontId="13" fillId="0" borderId="146" xfId="2" applyNumberFormat="1" applyFont="1" applyFill="1" applyBorder="1" applyAlignment="1">
      <alignment horizontal="center" vertical="center"/>
    </xf>
    <xf numFmtId="9" fontId="13" fillId="2" borderId="146" xfId="2" applyNumberFormat="1" applyFont="1" applyFill="1" applyBorder="1" applyAlignment="1">
      <alignment horizontal="center" vertical="center"/>
    </xf>
    <xf numFmtId="3" fontId="25" fillId="2" borderId="146" xfId="2" applyNumberFormat="1" applyFont="1" applyFill="1" applyBorder="1" applyAlignment="1">
      <alignment horizontal="center" vertical="center"/>
    </xf>
    <xf numFmtId="0" fontId="6" fillId="0" borderId="147" xfId="0" applyFont="1" applyBorder="1" applyAlignment="1">
      <alignment horizontal="center" vertical="center" wrapText="1"/>
    </xf>
    <xf numFmtId="0" fontId="6" fillId="0" borderId="148" xfId="0" applyFont="1" applyBorder="1" applyAlignment="1">
      <alignment horizontal="center" vertical="center" wrapText="1"/>
    </xf>
    <xf numFmtId="0" fontId="0" fillId="0" borderId="147" xfId="0" applyBorder="1" applyAlignment="1">
      <alignment horizontal="center"/>
    </xf>
    <xf numFmtId="0" fontId="0" fillId="0" borderId="148" xfId="0" applyBorder="1" applyAlignment="1">
      <alignment horizontal="center"/>
    </xf>
    <xf numFmtId="2" fontId="0" fillId="0" borderId="148" xfId="0" applyNumberFormat="1" applyBorder="1" applyAlignment="1">
      <alignment horizontal="center"/>
    </xf>
    <xf numFmtId="0" fontId="6" fillId="0" borderId="147" xfId="0" applyFont="1" applyBorder="1" applyAlignment="1">
      <alignment horizontal="center"/>
    </xf>
    <xf numFmtId="164" fontId="6" fillId="0" borderId="148" xfId="0" applyNumberFormat="1" applyFont="1" applyBorder="1" applyAlignment="1">
      <alignment horizontal="center"/>
    </xf>
    <xf numFmtId="0" fontId="0" fillId="0" borderId="149" xfId="0" applyBorder="1" applyAlignment="1">
      <alignment horizontal="left" vertical="center" wrapText="1"/>
    </xf>
    <xf numFmtId="0" fontId="20" fillId="0" borderId="150" xfId="78" applyBorder="1" applyAlignment="1">
      <alignment horizontal="center" vertical="center"/>
    </xf>
    <xf numFmtId="0" fontId="0" fillId="0" borderId="9" xfId="0" applyFont="1" applyBorder="1" applyAlignment="1">
      <alignment horizontal="center" vertical="center" wrapText="1"/>
    </xf>
    <xf numFmtId="3" fontId="0" fillId="27" borderId="10" xfId="0" applyNumberFormat="1" applyFont="1" applyFill="1" applyBorder="1" applyAlignment="1">
      <alignment horizontal="center" vertical="center"/>
    </xf>
    <xf numFmtId="0" fontId="0" fillId="0" borderId="147" xfId="0" applyFont="1" applyBorder="1" applyAlignment="1">
      <alignment horizontal="center" vertical="center" wrapText="1"/>
    </xf>
    <xf numFmtId="3" fontId="0" fillId="27" borderId="148" xfId="0" applyNumberFormat="1" applyFont="1" applyFill="1" applyBorder="1" applyAlignment="1">
      <alignment horizontal="center" vertical="center"/>
    </xf>
    <xf numFmtId="0" fontId="0" fillId="0" borderId="149" xfId="0" applyFont="1" applyBorder="1" applyAlignment="1">
      <alignment horizontal="center" vertical="center" wrapText="1"/>
    </xf>
    <xf numFmtId="3" fontId="0" fillId="27" borderId="150" xfId="0" applyNumberFormat="1" applyFont="1" applyFill="1" applyBorder="1" applyAlignment="1">
      <alignment horizontal="center" vertical="center"/>
    </xf>
    <xf numFmtId="0" fontId="0" fillId="0" borderId="147" xfId="0" applyBorder="1" applyAlignment="1">
      <alignment horizontal="center" vertical="center"/>
    </xf>
    <xf numFmtId="0" fontId="0" fillId="0" borderId="146" xfId="0" applyBorder="1" applyAlignment="1">
      <alignment horizontal="center" vertical="center"/>
    </xf>
    <xf numFmtId="0" fontId="0" fillId="0" borderId="149" xfId="0" applyBorder="1" applyAlignment="1">
      <alignment horizontal="center" vertical="center"/>
    </xf>
    <xf numFmtId="0" fontId="0" fillId="0" borderId="145" xfId="0" applyBorder="1" applyAlignment="1">
      <alignment horizontal="center" vertical="center"/>
    </xf>
    <xf numFmtId="3" fontId="0" fillId="0" borderId="146" xfId="0" applyNumberFormat="1" applyBorder="1" applyAlignment="1">
      <alignment horizontal="center" vertical="center"/>
    </xf>
    <xf numFmtId="3" fontId="0" fillId="0" borderId="145" xfId="0" applyNumberFormat="1" applyBorder="1" applyAlignment="1">
      <alignment horizontal="center" vertical="center"/>
    </xf>
    <xf numFmtId="174" fontId="0" fillId="0" borderId="148" xfId="0" applyNumberFormat="1" applyBorder="1" applyAlignment="1">
      <alignment horizontal="center" vertical="center"/>
    </xf>
    <xf numFmtId="174" fontId="0" fillId="0" borderId="150" xfId="0" applyNumberFormat="1" applyBorder="1" applyAlignment="1">
      <alignment horizontal="center" vertical="center"/>
    </xf>
    <xf numFmtId="164" fontId="0" fillId="0" borderId="150" xfId="0" applyNumberFormat="1" applyBorder="1" applyAlignment="1">
      <alignment horizontal="center" vertical="center"/>
    </xf>
    <xf numFmtId="3" fontId="0" fillId="27" borderId="9" xfId="0" applyNumberFormat="1" applyFont="1" applyFill="1" applyBorder="1" applyAlignment="1">
      <alignment horizontal="center" vertical="center"/>
    </xf>
    <xf numFmtId="3" fontId="0" fillId="27" borderId="92" xfId="0" applyNumberFormat="1" applyFont="1" applyFill="1" applyBorder="1" applyAlignment="1">
      <alignment horizontal="center" vertical="center"/>
    </xf>
    <xf numFmtId="3" fontId="0" fillId="27" borderId="21" xfId="0" applyNumberFormat="1" applyFont="1" applyFill="1" applyBorder="1" applyAlignment="1">
      <alignment horizontal="center" vertical="center"/>
    </xf>
    <xf numFmtId="3" fontId="0" fillId="27" borderId="89" xfId="0" applyNumberFormat="1" applyFont="1" applyFill="1" applyBorder="1" applyAlignment="1">
      <alignment horizontal="center" vertical="center"/>
    </xf>
    <xf numFmtId="3" fontId="0" fillId="27" borderId="100" xfId="0" applyNumberFormat="1" applyFont="1" applyFill="1" applyBorder="1" applyAlignment="1">
      <alignment horizontal="center" vertical="center"/>
    </xf>
    <xf numFmtId="3" fontId="0" fillId="27" borderId="15" xfId="0" applyNumberFormat="1" applyFont="1" applyFill="1" applyBorder="1" applyAlignment="1">
      <alignment horizontal="center" vertical="center"/>
    </xf>
    <xf numFmtId="10" fontId="20" fillId="0" borderId="96" xfId="78" applyNumberFormat="1" applyFill="1" applyBorder="1" applyAlignment="1" applyProtection="1">
      <alignment horizontal="center" vertical="center"/>
    </xf>
    <xf numFmtId="0" fontId="0" fillId="0" borderId="107" xfId="0" applyBorder="1" applyAlignment="1">
      <alignment horizontal="center" vertical="center"/>
    </xf>
    <xf numFmtId="3" fontId="0" fillId="29" borderId="115" xfId="0" applyNumberFormat="1" applyFont="1" applyFill="1" applyBorder="1" applyAlignment="1">
      <alignment horizontal="center" vertical="center"/>
    </xf>
    <xf numFmtId="3" fontId="0" fillId="3" borderId="115" xfId="0" applyNumberFormat="1" applyFill="1" applyBorder="1" applyAlignment="1">
      <alignment horizontal="center" vertical="center"/>
    </xf>
    <xf numFmtId="3" fontId="0" fillId="24" borderId="116" xfId="0" applyNumberFormat="1" applyFill="1" applyBorder="1" applyAlignment="1">
      <alignment horizontal="center" vertical="center"/>
    </xf>
    <xf numFmtId="0" fontId="13" fillId="0" borderId="97" xfId="2" applyFont="1" applyBorder="1"/>
    <xf numFmtId="0" fontId="78" fillId="29" borderId="99" xfId="2" applyFont="1" applyFill="1" applyBorder="1" applyAlignment="1">
      <alignment horizontal="center" vertical="center" wrapText="1"/>
    </xf>
    <xf numFmtId="3" fontId="13" fillId="0" borderId="99" xfId="2" applyNumberFormat="1" applyFont="1" applyFill="1" applyBorder="1" applyAlignment="1">
      <alignment horizontal="center" vertical="center"/>
    </xf>
    <xf numFmtId="3" fontId="78" fillId="29" borderId="106" xfId="2" applyNumberFormat="1" applyFont="1" applyFill="1" applyBorder="1" applyAlignment="1">
      <alignment horizontal="center" vertical="center"/>
    </xf>
    <xf numFmtId="0" fontId="6" fillId="3" borderId="102" xfId="2" applyFont="1" applyFill="1" applyBorder="1" applyAlignment="1">
      <alignment horizontal="center" vertical="center" wrapText="1"/>
    </xf>
    <xf numFmtId="0" fontId="6" fillId="3" borderId="99" xfId="2" applyFont="1" applyFill="1" applyBorder="1" applyAlignment="1">
      <alignment horizontal="center" vertical="center" wrapText="1"/>
    </xf>
    <xf numFmtId="0" fontId="13" fillId="0" borderId="107" xfId="2" applyFont="1" applyFill="1" applyBorder="1" applyAlignment="1">
      <alignment horizontal="center" vertical="center"/>
    </xf>
    <xf numFmtId="10" fontId="13" fillId="27" borderId="102" xfId="3" applyNumberFormat="1" applyFont="1" applyFill="1" applyBorder="1" applyAlignment="1">
      <alignment horizontal="center" vertical="center"/>
    </xf>
    <xf numFmtId="0" fontId="78" fillId="25" borderId="103" xfId="2" applyFont="1" applyFill="1" applyBorder="1" applyAlignment="1">
      <alignment horizontal="center" vertical="center"/>
    </xf>
    <xf numFmtId="10" fontId="6" fillId="3" borderId="108" xfId="3" applyNumberFormat="1" applyFont="1" applyFill="1" applyBorder="1" applyAlignment="1">
      <alignment horizontal="center" vertical="center"/>
    </xf>
    <xf numFmtId="3" fontId="6" fillId="3" borderId="106" xfId="2" applyNumberFormat="1" applyFont="1" applyFill="1" applyBorder="1" applyAlignment="1">
      <alignment horizontal="center" vertical="center"/>
    </xf>
    <xf numFmtId="0" fontId="4" fillId="0" borderId="0" xfId="2" applyFont="1" applyBorder="1"/>
    <xf numFmtId="0" fontId="8" fillId="2" borderId="129" xfId="8" applyFill="1" applyBorder="1" applyAlignment="1">
      <alignment horizontal="center" vertical="center" wrapText="1"/>
    </xf>
    <xf numFmtId="3" fontId="25" fillId="0" borderId="29" xfId="2" applyNumberFormat="1" applyFont="1" applyFill="1" applyBorder="1" applyAlignment="1">
      <alignment horizontal="center" vertical="center"/>
    </xf>
    <xf numFmtId="3" fontId="25" fillId="0" borderId="106" xfId="2" applyNumberFormat="1" applyFont="1" applyFill="1" applyBorder="1" applyAlignment="1">
      <alignment horizontal="center" vertical="center"/>
    </xf>
    <xf numFmtId="3" fontId="25" fillId="0" borderId="142" xfId="2" applyNumberFormat="1" applyFont="1" applyFill="1" applyBorder="1" applyAlignment="1">
      <alignment horizontal="center" vertical="center"/>
    </xf>
    <xf numFmtId="3" fontId="25" fillId="0" borderId="131" xfId="2" applyNumberFormat="1" applyFont="1" applyFill="1" applyBorder="1" applyAlignment="1">
      <alignment horizontal="center" vertical="center"/>
    </xf>
    <xf numFmtId="3" fontId="13" fillId="24" borderId="29" xfId="2" applyNumberFormat="1" applyFont="1" applyFill="1" applyBorder="1" applyAlignment="1">
      <alignment horizontal="center" vertical="center"/>
    </xf>
    <xf numFmtId="3" fontId="25" fillId="0" borderId="99" xfId="2" applyNumberFormat="1" applyFont="1" applyFill="1" applyBorder="1" applyAlignment="1">
      <alignment horizontal="center" vertical="center"/>
    </xf>
    <xf numFmtId="3" fontId="25" fillId="0" borderId="120" xfId="2" applyNumberFormat="1" applyFont="1" applyFill="1" applyBorder="1" applyAlignment="1">
      <alignment horizontal="center" vertical="center"/>
    </xf>
    <xf numFmtId="3" fontId="6" fillId="5" borderId="131" xfId="0" applyNumberFormat="1" applyFont="1" applyFill="1" applyBorder="1" applyAlignment="1">
      <alignment horizontal="center" vertical="center"/>
    </xf>
    <xf numFmtId="3" fontId="13" fillId="0" borderId="7" xfId="2" applyNumberFormat="1" applyFont="1" applyBorder="1" applyAlignment="1">
      <alignment horizontal="center" vertical="center"/>
    </xf>
    <xf numFmtId="3" fontId="13" fillId="0" borderId="146" xfId="2" applyNumberFormat="1" applyFont="1" applyBorder="1" applyAlignment="1">
      <alignment horizontal="center" vertical="center"/>
    </xf>
    <xf numFmtId="3" fontId="13" fillId="0" borderId="3" xfId="2" applyNumberFormat="1" applyFont="1" applyBorder="1" applyAlignment="1">
      <alignment horizontal="center" vertical="center"/>
    </xf>
    <xf numFmtId="3" fontId="13" fillId="0" borderId="117" xfId="2" applyNumberFormat="1" applyFont="1" applyBorder="1" applyAlignment="1">
      <alignment horizontal="center" vertical="center"/>
    </xf>
    <xf numFmtId="175" fontId="13" fillId="0" borderId="7" xfId="2" applyNumberFormat="1" applyFont="1" applyBorder="1" applyAlignment="1">
      <alignment horizontal="center" vertical="center"/>
    </xf>
    <xf numFmtId="175" fontId="13" fillId="0" borderId="146" xfId="2" applyNumberFormat="1" applyFont="1" applyBorder="1" applyAlignment="1">
      <alignment horizontal="center" vertical="center"/>
    </xf>
    <xf numFmtId="164" fontId="6" fillId="0" borderId="116" xfId="0" applyNumberFormat="1" applyFont="1" applyFill="1" applyBorder="1" applyAlignment="1">
      <alignment horizontal="center" vertical="center"/>
    </xf>
    <xf numFmtId="164" fontId="6" fillId="0" borderId="148" xfId="0" applyNumberFormat="1" applyFont="1" applyFill="1" applyBorder="1" applyAlignment="1">
      <alignment horizontal="center" vertical="center"/>
    </xf>
    <xf numFmtId="0" fontId="0" fillId="0" borderId="2" xfId="0" applyBorder="1"/>
    <xf numFmtId="0" fontId="6" fillId="0" borderId="147" xfId="0" applyFont="1" applyFill="1" applyBorder="1" applyAlignment="1">
      <alignment wrapText="1"/>
    </xf>
    <xf numFmtId="0" fontId="0" fillId="0" borderId="147" xfId="0" applyFill="1" applyBorder="1" applyAlignment="1">
      <alignment wrapText="1"/>
    </xf>
    <xf numFmtId="9" fontId="6" fillId="0" borderId="148" xfId="0" applyNumberFormat="1" applyFont="1" applyFill="1" applyBorder="1" applyAlignment="1">
      <alignment horizontal="center" vertical="center"/>
    </xf>
    <xf numFmtId="0" fontId="6" fillId="0" borderId="97" xfId="0" applyFont="1" applyBorder="1" applyAlignment="1">
      <alignment horizontal="center"/>
    </xf>
    <xf numFmtId="164" fontId="6" fillId="0" borderId="116" xfId="0" applyNumberFormat="1" applyFont="1" applyBorder="1" applyAlignment="1">
      <alignment horizontal="center"/>
    </xf>
    <xf numFmtId="3" fontId="13" fillId="0" borderId="117" xfId="5" applyNumberFormat="1" applyFont="1" applyBorder="1" applyAlignment="1">
      <alignment horizontal="center" vertical="center"/>
    </xf>
    <xf numFmtId="3" fontId="13" fillId="0" borderId="146" xfId="5" applyNumberFormat="1" applyFont="1" applyBorder="1" applyAlignment="1">
      <alignment horizontal="center" vertical="center"/>
    </xf>
    <xf numFmtId="3" fontId="0" fillId="0" borderId="148" xfId="0" applyNumberFormat="1" applyFont="1" applyFill="1" applyBorder="1" applyAlignment="1">
      <alignment horizontal="center" vertical="center" wrapText="1"/>
    </xf>
    <xf numFmtId="3" fontId="0" fillId="0" borderId="128" xfId="0" applyNumberFormat="1" applyFont="1" applyFill="1" applyBorder="1" applyAlignment="1">
      <alignment horizontal="center" vertical="center" wrapText="1"/>
    </xf>
    <xf numFmtId="175" fontId="13" fillId="0" borderId="99" xfId="2" applyNumberFormat="1" applyFont="1" applyBorder="1" applyAlignment="1">
      <alignment horizontal="center" vertical="center"/>
    </xf>
    <xf numFmtId="3" fontId="13" fillId="0" borderId="147" xfId="2" applyNumberFormat="1" applyFont="1" applyBorder="1" applyAlignment="1">
      <alignment horizontal="center" vertical="center"/>
    </xf>
    <xf numFmtId="10" fontId="0" fillId="0" borderId="99" xfId="0" applyNumberFormat="1" applyFont="1" applyBorder="1" applyAlignment="1">
      <alignment horizontal="center" vertical="center"/>
    </xf>
    <xf numFmtId="164" fontId="0" fillId="0" borderId="99" xfId="0" applyNumberFormat="1" applyFont="1" applyBorder="1" applyAlignment="1">
      <alignment horizontal="center" vertical="center"/>
    </xf>
    <xf numFmtId="0" fontId="6" fillId="0" borderId="138" xfId="0" applyFont="1" applyFill="1" applyBorder="1" applyAlignment="1">
      <alignment horizontal="center" vertical="center"/>
    </xf>
    <xf numFmtId="171" fontId="0" fillId="0" borderId="150" xfId="0" applyNumberFormat="1" applyBorder="1" applyAlignment="1">
      <alignment horizontal="center" vertical="center"/>
    </xf>
    <xf numFmtId="179" fontId="13" fillId="0" borderId="9" xfId="2" applyNumberFormat="1" applyFont="1" applyBorder="1" applyAlignment="1">
      <alignment horizontal="center" vertical="center"/>
    </xf>
    <xf numFmtId="3" fontId="13" fillId="0" borderId="152" xfId="2" applyNumberFormat="1" applyFont="1" applyBorder="1" applyAlignment="1">
      <alignment horizontal="center" vertical="center"/>
    </xf>
    <xf numFmtId="175" fontId="25" fillId="0" borderId="115" xfId="2" applyNumberFormat="1" applyFont="1" applyBorder="1" applyAlignment="1">
      <alignment horizontal="center" vertical="center"/>
    </xf>
    <xf numFmtId="3" fontId="6" fillId="0" borderId="29" xfId="0" applyNumberFormat="1" applyFont="1" applyFill="1" applyBorder="1" applyAlignment="1">
      <alignment horizontal="center" vertical="center" wrapText="1"/>
    </xf>
    <xf numFmtId="3" fontId="21" fillId="25" borderId="16" xfId="2" applyNumberFormat="1" applyFont="1" applyFill="1" applyBorder="1" applyAlignment="1">
      <alignment horizontal="center" vertical="center" wrapText="1"/>
    </xf>
    <xf numFmtId="3" fontId="0" fillId="0" borderId="148" xfId="0" applyNumberFormat="1" applyFont="1" applyFill="1" applyBorder="1" applyAlignment="1">
      <alignment horizontal="center" vertical="center"/>
    </xf>
    <xf numFmtId="0" fontId="25" fillId="0" borderId="140" xfId="1" applyFont="1" applyFill="1" applyBorder="1" applyAlignment="1">
      <alignment horizontal="center" vertical="center"/>
    </xf>
    <xf numFmtId="0" fontId="25" fillId="0" borderId="155" xfId="1" applyFont="1" applyFill="1" applyBorder="1" applyAlignment="1">
      <alignment horizontal="center" vertical="center"/>
    </xf>
    <xf numFmtId="0" fontId="25" fillId="0" borderId="7" xfId="1" applyFont="1" applyFill="1" applyBorder="1" applyAlignment="1">
      <alignment horizontal="center" vertical="center"/>
    </xf>
    <xf numFmtId="0" fontId="25" fillId="0" borderId="29" xfId="1" applyFont="1" applyFill="1" applyBorder="1" applyAlignment="1">
      <alignment horizontal="center" vertical="center"/>
    </xf>
    <xf numFmtId="0" fontId="25" fillId="0" borderId="138" xfId="1" applyFont="1" applyFill="1" applyBorder="1"/>
    <xf numFmtId="3" fontId="13" fillId="2" borderId="114" xfId="2" applyNumberFormat="1" applyFont="1" applyFill="1" applyBorder="1" applyAlignment="1">
      <alignment horizontal="center" vertical="center"/>
    </xf>
    <xf numFmtId="0" fontId="91" fillId="0" borderId="0" xfId="2" applyFont="1"/>
    <xf numFmtId="0" fontId="5" fillId="0" borderId="21" xfId="0" applyFont="1" applyFill="1" applyBorder="1" applyAlignment="1">
      <alignment horizontal="center" vertical="center" wrapText="1"/>
    </xf>
    <xf numFmtId="0" fontId="0" fillId="0" borderId="158" xfId="0" applyBorder="1"/>
    <xf numFmtId="0" fontId="0" fillId="0" borderId="159" xfId="0" applyBorder="1"/>
    <xf numFmtId="0" fontId="0" fillId="0" borderId="160" xfId="0" applyBorder="1"/>
    <xf numFmtId="0" fontId="0" fillId="0" borderId="161" xfId="0" applyBorder="1"/>
    <xf numFmtId="0" fontId="0" fillId="0" borderId="162" xfId="0" applyBorder="1"/>
    <xf numFmtId="0" fontId="0" fillId="0" borderId="146" xfId="0" applyBorder="1"/>
    <xf numFmtId="0" fontId="0" fillId="0" borderId="147" xfId="0" applyBorder="1"/>
    <xf numFmtId="0" fontId="0" fillId="0" borderId="148" xfId="0" applyBorder="1"/>
    <xf numFmtId="0" fontId="0" fillId="0" borderId="149" xfId="0" applyBorder="1"/>
    <xf numFmtId="0" fontId="0" fillId="0" borderId="145" xfId="0" applyBorder="1"/>
    <xf numFmtId="0" fontId="0" fillId="0" borderId="150" xfId="0" applyBorder="1"/>
    <xf numFmtId="0" fontId="0" fillId="0" borderId="163" xfId="0" applyBorder="1"/>
    <xf numFmtId="0" fontId="0" fillId="0" borderId="164" xfId="0" applyBorder="1"/>
    <xf numFmtId="0" fontId="0" fillId="0" borderId="165" xfId="0" applyBorder="1"/>
    <xf numFmtId="0" fontId="0" fillId="0" borderId="138" xfId="0" applyBorder="1"/>
    <xf numFmtId="0" fontId="0" fillId="0" borderId="140" xfId="0" applyBorder="1"/>
    <xf numFmtId="0" fontId="0" fillId="0" borderId="139" xfId="0" applyBorder="1"/>
    <xf numFmtId="0" fontId="0" fillId="0" borderId="100" xfId="0" applyBorder="1"/>
    <xf numFmtId="0" fontId="0" fillId="0" borderId="101" xfId="0" applyBorder="1"/>
    <xf numFmtId="0" fontId="0" fillId="0" borderId="17" xfId="0" applyBorder="1"/>
    <xf numFmtId="0" fontId="6" fillId="0" borderId="147" xfId="0" applyFont="1" applyBorder="1" applyAlignment="1">
      <alignment horizontal="center" vertical="center"/>
    </xf>
    <xf numFmtId="3" fontId="0" fillId="0" borderId="146" xfId="0" applyNumberFormat="1" applyFill="1" applyBorder="1" applyAlignment="1">
      <alignment horizontal="center" vertical="center"/>
    </xf>
    <xf numFmtId="170" fontId="0" fillId="0" borderId="146" xfId="0" applyNumberFormat="1" applyBorder="1" applyAlignment="1">
      <alignment horizontal="center" vertical="center"/>
    </xf>
    <xf numFmtId="164" fontId="0" fillId="0" borderId="148" xfId="0" applyNumberFormat="1" applyBorder="1" applyAlignment="1">
      <alignment horizontal="center" vertical="center"/>
    </xf>
    <xf numFmtId="165" fontId="0" fillId="0" borderId="146" xfId="0" applyNumberFormat="1" applyBorder="1" applyAlignment="1">
      <alignment horizontal="center" vertical="center"/>
    </xf>
    <xf numFmtId="3" fontId="0" fillId="0" borderId="157" xfId="0" applyNumberFormat="1" applyBorder="1" applyAlignment="1">
      <alignment horizontal="center" vertical="center"/>
    </xf>
    <xf numFmtId="0" fontId="6" fillId="0" borderId="146" xfId="0" applyFont="1" applyBorder="1" applyAlignment="1">
      <alignment horizontal="center" vertical="center"/>
    </xf>
    <xf numFmtId="165" fontId="6" fillId="0" borderId="146" xfId="0" applyNumberFormat="1" applyFont="1" applyBorder="1" applyAlignment="1">
      <alignment horizontal="center" vertical="center"/>
    </xf>
    <xf numFmtId="164" fontId="0" fillId="0" borderId="146" xfId="0" applyNumberFormat="1" applyBorder="1" applyAlignment="1">
      <alignment horizontal="center" vertical="center"/>
    </xf>
    <xf numFmtId="0" fontId="6" fillId="0" borderId="7" xfId="0" applyFont="1" applyBorder="1" applyAlignment="1">
      <alignment horizontal="center" vertical="center" wrapText="1"/>
    </xf>
    <xf numFmtId="0" fontId="6" fillId="0" borderId="148" xfId="0" applyFont="1" applyBorder="1" applyAlignment="1">
      <alignment horizontal="center" vertical="center"/>
    </xf>
    <xf numFmtId="0" fontId="6" fillId="0" borderId="149" xfId="0" applyFont="1" applyFill="1" applyBorder="1" applyAlignment="1">
      <alignment horizontal="center" vertical="center"/>
    </xf>
    <xf numFmtId="0" fontId="0" fillId="0" borderId="156" xfId="0" applyBorder="1"/>
    <xf numFmtId="170" fontId="0" fillId="0" borderId="157" xfId="0" applyNumberFormat="1" applyBorder="1" applyAlignment="1">
      <alignment horizontal="center" vertical="center"/>
    </xf>
    <xf numFmtId="0" fontId="0" fillId="0" borderId="167" xfId="0" applyBorder="1"/>
    <xf numFmtId="0" fontId="0" fillId="0" borderId="166" xfId="0" applyBorder="1"/>
    <xf numFmtId="0" fontId="0" fillId="0" borderId="89" xfId="0" applyFill="1" applyBorder="1"/>
    <xf numFmtId="2" fontId="0" fillId="0" borderId="90" xfId="0" applyNumberFormat="1" applyFill="1" applyBorder="1" applyAlignment="1">
      <alignment horizontal="center" vertical="center"/>
    </xf>
    <xf numFmtId="0" fontId="0" fillId="0" borderId="89" xfId="0" applyFill="1" applyBorder="1" applyAlignment="1">
      <alignment wrapText="1"/>
    </xf>
    <xf numFmtId="2" fontId="0" fillId="0" borderId="146" xfId="0" applyNumberFormat="1" applyFill="1" applyBorder="1" applyAlignment="1">
      <alignment horizontal="center" vertical="center"/>
    </xf>
    <xf numFmtId="164" fontId="6" fillId="0" borderId="90" xfId="0" applyNumberFormat="1" applyFont="1" applyFill="1" applyBorder="1" applyAlignment="1">
      <alignment horizontal="center" vertical="center"/>
    </xf>
    <xf numFmtId="164" fontId="6" fillId="0" borderId="127" xfId="0" applyNumberFormat="1"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91" xfId="0" applyFont="1" applyFill="1" applyBorder="1" applyAlignment="1">
      <alignment horizontal="center" vertical="center"/>
    </xf>
    <xf numFmtId="0" fontId="0" fillId="0" borderId="147" xfId="0" applyFont="1" applyFill="1" applyBorder="1" applyAlignment="1">
      <alignment horizontal="left" vertical="center" wrapText="1"/>
    </xf>
    <xf numFmtId="0" fontId="0" fillId="0" borderId="148" xfId="0" applyFont="1" applyFill="1" applyBorder="1" applyAlignment="1">
      <alignment horizontal="center" vertical="center"/>
    </xf>
    <xf numFmtId="3" fontId="0" fillId="0" borderId="91" xfId="0" applyNumberFormat="1" applyFont="1" applyFill="1" applyBorder="1" applyAlignment="1">
      <alignment horizontal="center" vertical="center"/>
    </xf>
    <xf numFmtId="10" fontId="0" fillId="0" borderId="91" xfId="0" applyNumberFormat="1" applyFont="1" applyFill="1" applyBorder="1" applyAlignment="1">
      <alignment horizontal="center" vertical="center"/>
    </xf>
    <xf numFmtId="10" fontId="0" fillId="0" borderId="148"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3" fontId="0" fillId="0" borderId="151" xfId="0" applyNumberFormat="1" applyBorder="1" applyAlignment="1">
      <alignment horizontal="left" vertical="center"/>
    </xf>
    <xf numFmtId="164" fontId="6" fillId="0" borderId="99" xfId="0" applyNumberFormat="1" applyFont="1" applyFill="1" applyBorder="1" applyAlignment="1">
      <alignment horizontal="center" vertical="center"/>
    </xf>
    <xf numFmtId="9" fontId="6" fillId="0" borderId="116" xfId="0" applyNumberFormat="1" applyFont="1" applyFill="1" applyBorder="1" applyAlignment="1">
      <alignment horizontal="center" vertical="center"/>
    </xf>
    <xf numFmtId="0" fontId="6" fillId="0" borderId="102" xfId="0" applyFont="1" applyFill="1" applyBorder="1" applyAlignment="1">
      <alignment wrapText="1"/>
    </xf>
    <xf numFmtId="0" fontId="0" fillId="0" borderId="144" xfId="0" applyBorder="1"/>
    <xf numFmtId="0" fontId="6" fillId="0" borderId="92" xfId="0" applyFont="1" applyFill="1" applyBorder="1" applyAlignment="1">
      <alignment wrapText="1"/>
    </xf>
    <xf numFmtId="9" fontId="6" fillId="0" borderId="94" xfId="0" applyNumberFormat="1" applyFont="1" applyFill="1" applyBorder="1" applyAlignment="1">
      <alignment horizontal="center" vertical="center"/>
    </xf>
    <xf numFmtId="1" fontId="6" fillId="0" borderId="147" xfId="0" applyNumberFormat="1" applyFont="1" applyFill="1" applyBorder="1" applyAlignment="1">
      <alignment horizontal="center" vertical="center" wrapText="1"/>
    </xf>
    <xf numFmtId="3" fontId="6" fillId="0" borderId="148" xfId="0" applyNumberFormat="1" applyFont="1" applyFill="1" applyBorder="1" applyAlignment="1">
      <alignment horizontal="center" vertical="center" wrapText="1"/>
    </xf>
    <xf numFmtId="0" fontId="2" fillId="0" borderId="99" xfId="1" applyFont="1" applyBorder="1"/>
    <xf numFmtId="0" fontId="2" fillId="0" borderId="115" xfId="1" applyFont="1" applyBorder="1"/>
    <xf numFmtId="9" fontId="2" fillId="0" borderId="115" xfId="6" applyNumberFormat="1" applyFont="1" applyBorder="1"/>
    <xf numFmtId="9" fontId="2" fillId="0" borderId="115" xfId="1" applyNumberFormat="1" applyFont="1" applyBorder="1"/>
    <xf numFmtId="9" fontId="2" fillId="0" borderId="106" xfId="1" applyNumberFormat="1" applyFont="1" applyBorder="1"/>
    <xf numFmtId="0" fontId="2" fillId="0" borderId="90" xfId="1" applyFont="1" applyBorder="1" applyAlignment="1">
      <alignment horizontal="center" vertical="center"/>
    </xf>
    <xf numFmtId="0" fontId="2" fillId="0" borderId="90" xfId="1" applyFont="1" applyBorder="1"/>
    <xf numFmtId="0" fontId="2" fillId="0" borderId="89" xfId="1" applyFont="1" applyBorder="1"/>
    <xf numFmtId="0" fontId="2" fillId="0" borderId="91" xfId="1" applyFont="1" applyBorder="1"/>
    <xf numFmtId="0" fontId="2" fillId="0" borderId="97" xfId="1" applyFont="1" applyBorder="1"/>
    <xf numFmtId="0" fontId="2" fillId="0" borderId="114" xfId="1" applyFont="1" applyBorder="1"/>
    <xf numFmtId="9" fontId="2" fillId="0" borderId="97" xfId="6" applyNumberFormat="1" applyFont="1" applyBorder="1"/>
    <xf numFmtId="9" fontId="2" fillId="0" borderId="114" xfId="6" applyNumberFormat="1" applyFont="1" applyBorder="1"/>
    <xf numFmtId="9" fontId="2" fillId="0" borderId="97" xfId="6" applyFont="1" applyBorder="1"/>
    <xf numFmtId="9" fontId="2" fillId="0" borderId="92" xfId="6" applyNumberFormat="1" applyFont="1" applyBorder="1"/>
    <xf numFmtId="9" fontId="2" fillId="0" borderId="93" xfId="6" applyNumberFormat="1" applyFont="1" applyBorder="1"/>
    <xf numFmtId="0" fontId="2" fillId="0" borderId="93" xfId="1" applyFont="1" applyBorder="1"/>
    <xf numFmtId="0" fontId="2" fillId="0" borderId="94" xfId="1" applyFont="1" applyBorder="1"/>
    <xf numFmtId="0" fontId="2" fillId="0" borderId="112" xfId="1" applyFont="1" applyBorder="1" applyAlignment="1">
      <alignment horizontal="center"/>
    </xf>
    <xf numFmtId="3" fontId="93" fillId="0" borderId="99" xfId="1" applyNumberFormat="1" applyFont="1" applyBorder="1" applyAlignment="1">
      <alignment horizontal="center" vertical="center"/>
    </xf>
    <xf numFmtId="3" fontId="92" fillId="0" borderId="106" xfId="1" applyNumberFormat="1" applyFont="1" applyBorder="1" applyAlignment="1">
      <alignment horizontal="center" vertical="center"/>
    </xf>
    <xf numFmtId="0" fontId="25" fillId="0" borderId="138" xfId="1" applyFont="1" applyFill="1" applyBorder="1" applyAlignment="1">
      <alignment horizontal="center" vertical="center"/>
    </xf>
    <xf numFmtId="0" fontId="25" fillId="0" borderId="155" xfId="1" applyFont="1" applyBorder="1" applyAlignment="1">
      <alignment horizontal="center" vertical="center"/>
    </xf>
    <xf numFmtId="0" fontId="25" fillId="0" borderId="139" xfId="2" applyFont="1" applyBorder="1" applyAlignment="1">
      <alignment horizontal="center" vertical="center"/>
    </xf>
    <xf numFmtId="0" fontId="13" fillId="0" borderId="89" xfId="1" applyFont="1" applyFill="1" applyBorder="1" applyAlignment="1">
      <alignment horizontal="left" vertical="center"/>
    </xf>
    <xf numFmtId="3" fontId="13" fillId="0" borderId="90" xfId="1" applyNumberFormat="1" applyFont="1" applyFill="1" applyBorder="1" applyAlignment="1">
      <alignment horizontal="center" vertical="center"/>
    </xf>
    <xf numFmtId="3" fontId="93" fillId="0" borderId="91" xfId="2" applyNumberFormat="1" applyFont="1" applyBorder="1" applyAlignment="1">
      <alignment horizontal="center" vertical="center"/>
    </xf>
    <xf numFmtId="0" fontId="25" fillId="0" borderId="92" xfId="1" applyFont="1" applyFill="1" applyBorder="1" applyAlignment="1">
      <alignment horizontal="center" vertical="center"/>
    </xf>
    <xf numFmtId="3" fontId="25" fillId="0" borderId="93" xfId="1" applyNumberFormat="1" applyFont="1" applyFill="1" applyBorder="1" applyAlignment="1">
      <alignment horizontal="center" vertical="center"/>
    </xf>
    <xf numFmtId="3" fontId="25" fillId="0" borderId="106" xfId="1" applyNumberFormat="1" applyFont="1" applyFill="1" applyBorder="1" applyAlignment="1">
      <alignment horizontal="center" vertical="center"/>
    </xf>
    <xf numFmtId="0" fontId="13" fillId="0" borderId="153" xfId="1" applyFont="1" applyBorder="1" applyAlignment="1">
      <alignment vertical="top"/>
    </xf>
    <xf numFmtId="0" fontId="0" fillId="0" borderId="168" xfId="0" applyBorder="1" applyAlignment="1">
      <alignment vertical="top"/>
    </xf>
    <xf numFmtId="0" fontId="0" fillId="0" borderId="134" xfId="0" applyBorder="1" applyAlignment="1">
      <alignment vertical="top"/>
    </xf>
    <xf numFmtId="3" fontId="92" fillId="0" borderId="94" xfId="2" applyNumberFormat="1" applyFont="1" applyBorder="1" applyAlignment="1">
      <alignment horizontal="center" vertical="center"/>
    </xf>
    <xf numFmtId="0" fontId="25" fillId="0" borderId="9" xfId="1" applyFont="1" applyFill="1" applyBorder="1"/>
    <xf numFmtId="0" fontId="25" fillId="0" borderId="92" xfId="1" applyFont="1" applyFill="1" applyBorder="1"/>
    <xf numFmtId="0" fontId="13" fillId="0" borderId="153" xfId="1" applyFont="1" applyBorder="1" applyAlignment="1">
      <alignment vertical="center"/>
    </xf>
    <xf numFmtId="0" fontId="0" fillId="0" borderId="168" xfId="0" applyBorder="1" applyAlignment="1">
      <alignment vertical="center"/>
    </xf>
    <xf numFmtId="0" fontId="25" fillId="0" borderId="140" xfId="1" applyFont="1" applyBorder="1" applyAlignment="1">
      <alignment horizontal="center" vertical="center"/>
    </xf>
    <xf numFmtId="3" fontId="13" fillId="0" borderId="91" xfId="2" applyNumberFormat="1" applyFont="1" applyBorder="1" applyAlignment="1">
      <alignment horizontal="center" vertical="center"/>
    </xf>
    <xf numFmtId="3" fontId="25" fillId="0" borderId="94" xfId="2" applyNumberFormat="1" applyFont="1" applyBorder="1" applyAlignment="1">
      <alignment horizontal="center" vertical="center"/>
    </xf>
    <xf numFmtId="0" fontId="25" fillId="0" borderId="7" xfId="1" applyFont="1" applyBorder="1" applyAlignment="1">
      <alignment horizontal="center" vertical="center"/>
    </xf>
    <xf numFmtId="0" fontId="25" fillId="0" borderId="10" xfId="2" applyFont="1" applyBorder="1" applyAlignment="1">
      <alignment horizontal="center" vertical="center"/>
    </xf>
    <xf numFmtId="3" fontId="13" fillId="0" borderId="90" xfId="1" applyNumberFormat="1" applyFont="1" applyBorder="1" applyAlignment="1">
      <alignment horizontal="center" vertical="center"/>
    </xf>
    <xf numFmtId="3" fontId="25" fillId="0" borderId="93" xfId="1" applyNumberFormat="1" applyFont="1" applyBorder="1" applyAlignment="1">
      <alignment horizontal="center" vertical="center"/>
    </xf>
    <xf numFmtId="0" fontId="6" fillId="0" borderId="133" xfId="0" applyFont="1" applyFill="1" applyBorder="1" applyAlignment="1">
      <alignment wrapText="1"/>
    </xf>
    <xf numFmtId="3" fontId="13" fillId="2" borderId="90" xfId="2" applyNumberFormat="1" applyFont="1" applyFill="1" applyBorder="1" applyAlignment="1">
      <alignment horizontal="center" vertical="center"/>
    </xf>
    <xf numFmtId="1" fontId="13" fillId="27" borderId="7" xfId="2" applyNumberFormat="1" applyFont="1" applyFill="1" applyBorder="1" applyAlignment="1">
      <alignment horizontal="center" vertical="center"/>
    </xf>
    <xf numFmtId="1" fontId="13" fillId="27" borderId="90" xfId="2" applyNumberFormat="1" applyFont="1" applyFill="1" applyBorder="1" applyAlignment="1">
      <alignment horizontal="center" vertical="center"/>
    </xf>
    <xf numFmtId="1" fontId="13" fillId="27" borderId="93" xfId="2" applyNumberFormat="1" applyFont="1" applyFill="1" applyBorder="1" applyAlignment="1">
      <alignment horizontal="center" vertical="center"/>
    </xf>
    <xf numFmtId="3" fontId="13" fillId="2" borderId="93" xfId="2" applyNumberFormat="1" applyFont="1" applyFill="1" applyBorder="1" applyAlignment="1">
      <alignment horizontal="center" vertical="center"/>
    </xf>
    <xf numFmtId="0" fontId="13" fillId="27" borderId="94" xfId="2" applyFont="1" applyFill="1" applyBorder="1" applyAlignment="1">
      <alignment horizontal="center" vertical="center"/>
    </xf>
    <xf numFmtId="3" fontId="4" fillId="0" borderId="0" xfId="2" applyNumberFormat="1" applyFont="1" applyBorder="1"/>
    <xf numFmtId="1" fontId="4" fillId="0" borderId="0" xfId="2" applyNumberFormat="1" applyFont="1" applyFill="1" applyBorder="1" applyAlignment="1">
      <alignment horizontal="center" vertical="center"/>
    </xf>
    <xf numFmtId="0" fontId="4" fillId="0" borderId="0" xfId="2" applyFont="1" applyFill="1" applyBorder="1" applyAlignment="1">
      <alignment horizontal="center" vertical="center"/>
    </xf>
    <xf numFmtId="10" fontId="13" fillId="0" borderId="99" xfId="6" applyNumberFormat="1" applyFont="1" applyFill="1" applyBorder="1" applyAlignment="1">
      <alignment horizontal="center" vertical="center"/>
    </xf>
    <xf numFmtId="3" fontId="13" fillId="0" borderId="99" xfId="9" applyNumberFormat="1" applyFont="1" applyFill="1" applyBorder="1" applyAlignment="1">
      <alignment horizontal="center" vertical="center"/>
    </xf>
    <xf numFmtId="10" fontId="13" fillId="0" borderId="90" xfId="6" applyNumberFormat="1" applyFont="1" applyFill="1" applyBorder="1" applyAlignment="1">
      <alignment horizontal="center" vertical="center"/>
    </xf>
    <xf numFmtId="10" fontId="5" fillId="0" borderId="90" xfId="6" applyNumberFormat="1" applyFont="1" applyFill="1" applyBorder="1" applyAlignment="1">
      <alignment horizontal="center" vertical="center"/>
    </xf>
    <xf numFmtId="10" fontId="13" fillId="0" borderId="90" xfId="6" applyNumberFormat="1" applyFont="1" applyBorder="1" applyAlignment="1">
      <alignment horizontal="center" vertical="center"/>
    </xf>
    <xf numFmtId="0" fontId="13" fillId="0" borderId="116" xfId="2" applyFont="1" applyBorder="1" applyAlignment="1">
      <alignment horizontal="center" vertical="center"/>
    </xf>
    <xf numFmtId="0" fontId="13" fillId="0" borderId="92" xfId="2" applyFont="1" applyBorder="1"/>
    <xf numFmtId="0" fontId="13" fillId="0" borderId="94" xfId="2" applyFont="1" applyBorder="1" applyAlignment="1">
      <alignment horizontal="center" vertical="center"/>
    </xf>
    <xf numFmtId="0" fontId="6" fillId="6" borderId="89" xfId="2" applyFont="1" applyFill="1" applyBorder="1" applyAlignment="1">
      <alignment horizontal="center" vertical="center" wrapText="1"/>
    </xf>
    <xf numFmtId="0" fontId="6" fillId="6" borderId="90" xfId="2" applyFont="1" applyFill="1" applyBorder="1" applyAlignment="1">
      <alignment horizontal="center" vertical="center" wrapText="1"/>
    </xf>
    <xf numFmtId="0" fontId="6" fillId="6" borderId="91" xfId="2" applyFont="1" applyFill="1" applyBorder="1" applyAlignment="1">
      <alignment horizontal="center" vertical="center" wrapText="1"/>
    </xf>
    <xf numFmtId="0" fontId="78" fillId="29" borderId="89" xfId="2" applyFont="1" applyFill="1" applyBorder="1" applyAlignment="1">
      <alignment horizontal="center" vertical="center" wrapText="1"/>
    </xf>
    <xf numFmtId="0" fontId="21" fillId="29" borderId="90" xfId="2" applyFont="1" applyFill="1" applyBorder="1" applyAlignment="1">
      <alignment horizontal="center" vertical="center"/>
    </xf>
    <xf numFmtId="0" fontId="78" fillId="29" borderId="91" xfId="2" applyFont="1" applyFill="1" applyBorder="1" applyAlignment="1">
      <alignment horizontal="center" vertical="center" wrapText="1"/>
    </xf>
    <xf numFmtId="10" fontId="13" fillId="27" borderId="89" xfId="2" applyNumberFormat="1" applyFont="1" applyFill="1" applyBorder="1" applyAlignment="1">
      <alignment horizontal="center" vertical="center"/>
    </xf>
    <xf numFmtId="10" fontId="13" fillId="2" borderId="90" xfId="6" applyNumberFormat="1" applyFont="1" applyFill="1" applyBorder="1" applyAlignment="1">
      <alignment horizontal="center" vertical="center"/>
    </xf>
    <xf numFmtId="10" fontId="13" fillId="2" borderId="90" xfId="2" applyNumberFormat="1" applyFont="1" applyFill="1" applyBorder="1" applyAlignment="1">
      <alignment horizontal="center" vertical="center"/>
    </xf>
    <xf numFmtId="3" fontId="6" fillId="6" borderId="92" xfId="2" applyNumberFormat="1" applyFont="1" applyFill="1" applyBorder="1" applyAlignment="1">
      <alignment horizontal="center" vertical="center"/>
    </xf>
    <xf numFmtId="3" fontId="6" fillId="6" borderId="93" xfId="2" applyNumberFormat="1" applyFont="1" applyFill="1" applyBorder="1" applyAlignment="1">
      <alignment horizontal="center" vertical="center"/>
    </xf>
    <xf numFmtId="3" fontId="6" fillId="6" borderId="94" xfId="2" applyNumberFormat="1" applyFont="1" applyFill="1" applyBorder="1" applyAlignment="1">
      <alignment horizontal="center" vertical="center"/>
    </xf>
    <xf numFmtId="10" fontId="78" fillId="29" borderId="92" xfId="2" applyNumberFormat="1" applyFont="1" applyFill="1" applyBorder="1" applyAlignment="1">
      <alignment horizontal="center" vertical="center"/>
    </xf>
    <xf numFmtId="10" fontId="21" fillId="29" borderId="93" xfId="6" applyNumberFormat="1" applyFont="1" applyFill="1" applyBorder="1" applyAlignment="1">
      <alignment horizontal="center" vertical="center"/>
    </xf>
    <xf numFmtId="10" fontId="78" fillId="29" borderId="106" xfId="6" applyNumberFormat="1" applyFont="1" applyFill="1" applyBorder="1" applyAlignment="1">
      <alignment horizontal="center" vertical="center"/>
    </xf>
    <xf numFmtId="3" fontId="21" fillId="29" borderId="106" xfId="2" applyNumberFormat="1" applyFont="1" applyFill="1" applyBorder="1" applyAlignment="1">
      <alignment horizontal="center" vertical="center"/>
    </xf>
    <xf numFmtId="3" fontId="21" fillId="29" borderId="94" xfId="2" applyNumberFormat="1" applyFont="1" applyFill="1" applyBorder="1" applyAlignment="1">
      <alignment horizontal="center" vertical="center"/>
    </xf>
    <xf numFmtId="3" fontId="6" fillId="0" borderId="112" xfId="0" applyNumberFormat="1" applyFont="1" applyFill="1" applyBorder="1" applyAlignment="1">
      <alignment horizontal="center" vertical="center"/>
    </xf>
    <xf numFmtId="9" fontId="0" fillId="0" borderId="112" xfId="0" applyNumberFormat="1" applyFont="1" applyFill="1" applyBorder="1" applyAlignment="1">
      <alignment horizontal="center" vertical="center"/>
    </xf>
    <xf numFmtId="3" fontId="0" fillId="0" borderId="112" xfId="0" applyNumberFormat="1" applyFont="1" applyFill="1" applyBorder="1" applyAlignment="1">
      <alignment horizontal="center" vertical="center"/>
    </xf>
    <xf numFmtId="3" fontId="6" fillId="0" borderId="99" xfId="0" applyNumberFormat="1" applyFont="1" applyFill="1" applyBorder="1" applyAlignment="1">
      <alignment horizontal="center" vertical="center"/>
    </xf>
    <xf numFmtId="164" fontId="6" fillId="0" borderId="112" xfId="0" applyNumberFormat="1" applyFont="1" applyFill="1" applyBorder="1" applyAlignment="1">
      <alignment horizontal="center" vertical="center"/>
    </xf>
    <xf numFmtId="10" fontId="0" fillId="0" borderId="90" xfId="6" applyNumberFormat="1" applyFont="1" applyFill="1" applyBorder="1" applyAlignment="1">
      <alignment horizontal="center" vertical="center"/>
    </xf>
    <xf numFmtId="0" fontId="21" fillId="25" borderId="16" xfId="2" applyFont="1" applyFill="1" applyBorder="1" applyAlignment="1">
      <alignment horizontal="center" vertical="center" wrapText="1"/>
    </xf>
    <xf numFmtId="3" fontId="5" fillId="0" borderId="99" xfId="5" applyNumberFormat="1" applyFont="1" applyFill="1" applyBorder="1" applyAlignment="1">
      <alignment horizontal="center" vertical="center"/>
    </xf>
    <xf numFmtId="3" fontId="9" fillId="0" borderId="112" xfId="2" applyNumberFormat="1" applyFont="1" applyBorder="1" applyAlignment="1">
      <alignment horizontal="center" vertical="center"/>
    </xf>
    <xf numFmtId="9" fontId="10" fillId="0" borderId="112" xfId="6" applyFont="1" applyBorder="1" applyAlignment="1">
      <alignment horizontal="center" vertical="center"/>
    </xf>
    <xf numFmtId="3" fontId="10" fillId="0" borderId="112" xfId="2" applyNumberFormat="1" applyFont="1" applyBorder="1" applyAlignment="1">
      <alignment horizontal="center" vertical="center"/>
    </xf>
    <xf numFmtId="3" fontId="5" fillId="0" borderId="112" xfId="0" applyNumberFormat="1" applyFont="1" applyFill="1" applyBorder="1" applyAlignment="1">
      <alignment horizontal="center" vertical="center"/>
    </xf>
    <xf numFmtId="0" fontId="6" fillId="0" borderId="155" xfId="0" applyFont="1" applyFill="1" applyBorder="1" applyAlignment="1">
      <alignment horizontal="center" vertical="center"/>
    </xf>
    <xf numFmtId="3" fontId="0" fillId="24" borderId="99" xfId="0" applyNumberFormat="1" applyFill="1" applyBorder="1" applyAlignment="1">
      <alignment horizontal="center" vertical="center"/>
    </xf>
    <xf numFmtId="3" fontId="0" fillId="29" borderId="99" xfId="0" applyNumberFormat="1" applyFont="1" applyFill="1" applyBorder="1" applyAlignment="1">
      <alignment horizontal="center" vertical="center"/>
    </xf>
    <xf numFmtId="3" fontId="0" fillId="24" borderId="94" xfId="0" applyNumberFormat="1" applyFill="1" applyBorder="1" applyAlignment="1">
      <alignment horizontal="center" vertical="center"/>
    </xf>
    <xf numFmtId="10" fontId="0" fillId="0" borderId="99" xfId="0" applyNumberFormat="1" applyFont="1" applyFill="1" applyBorder="1" applyAlignment="1">
      <alignment horizontal="center" vertical="center"/>
    </xf>
    <xf numFmtId="10" fontId="0" fillId="24" borderId="106" xfId="0" applyNumberFormat="1" applyFont="1" applyFill="1" applyBorder="1" applyAlignment="1">
      <alignment horizontal="center" vertical="center"/>
    </xf>
    <xf numFmtId="0" fontId="0" fillId="0" borderId="89" xfId="0" applyFont="1" applyBorder="1" applyAlignment="1">
      <alignment horizontal="center" vertical="center" wrapText="1"/>
    </xf>
    <xf numFmtId="10" fontId="0" fillId="24" borderId="90" xfId="0" applyNumberFormat="1" applyFont="1" applyFill="1" applyBorder="1" applyAlignment="1">
      <alignment horizontal="center" vertical="center" wrapText="1"/>
    </xf>
    <xf numFmtId="10" fontId="0" fillId="0" borderId="90" xfId="0" applyNumberFormat="1" applyFont="1" applyBorder="1" applyAlignment="1">
      <alignment horizontal="center" vertical="center" wrapText="1"/>
    </xf>
    <xf numFmtId="0" fontId="0" fillId="0" borderId="92" xfId="0" applyFont="1" applyBorder="1" applyAlignment="1">
      <alignment horizontal="center" vertical="center" wrapText="1"/>
    </xf>
    <xf numFmtId="10" fontId="0" fillId="0" borderId="93" xfId="0" applyNumberFormat="1" applyFont="1" applyBorder="1" applyAlignment="1">
      <alignment horizontal="center" vertical="center" wrapText="1"/>
    </xf>
    <xf numFmtId="10" fontId="0" fillId="24" borderId="93" xfId="0" applyNumberFormat="1" applyFont="1" applyFill="1" applyBorder="1" applyAlignment="1">
      <alignment horizontal="center" vertical="center"/>
    </xf>
    <xf numFmtId="3" fontId="0" fillId="24" borderId="93" xfId="0" applyNumberFormat="1" applyFill="1" applyBorder="1" applyAlignment="1">
      <alignment horizontal="center" vertical="center"/>
    </xf>
    <xf numFmtId="0" fontId="21" fillId="25" borderId="117" xfId="2" applyFont="1" applyFill="1" applyBorder="1" applyAlignment="1">
      <alignment horizontal="center" vertical="center" wrapText="1"/>
    </xf>
    <xf numFmtId="0" fontId="21" fillId="25" borderId="120" xfId="2" applyFont="1" applyFill="1" applyBorder="1" applyAlignment="1">
      <alignment horizontal="center" vertical="center" wrapText="1"/>
    </xf>
    <xf numFmtId="0" fontId="21" fillId="25" borderId="118" xfId="2" applyFont="1" applyFill="1" applyBorder="1" applyAlignment="1">
      <alignment horizontal="center" vertical="center" wrapText="1"/>
    </xf>
    <xf numFmtId="0" fontId="6" fillId="0" borderId="134" xfId="0" applyFont="1" applyBorder="1" applyAlignment="1">
      <alignment horizontal="center" vertical="center" wrapText="1"/>
    </xf>
    <xf numFmtId="3" fontId="6" fillId="0" borderId="95" xfId="5" applyNumberFormat="1" applyFont="1" applyFill="1" applyBorder="1" applyAlignment="1">
      <alignment horizontal="center" vertical="center"/>
    </xf>
    <xf numFmtId="0" fontId="0" fillId="0" borderId="7" xfId="0" applyFont="1" applyBorder="1" applyAlignment="1">
      <alignment horizontal="center" vertical="center" wrapText="1"/>
    </xf>
    <xf numFmtId="164" fontId="0" fillId="0" borderId="7" xfId="0" applyNumberFormat="1" applyBorder="1" applyAlignment="1">
      <alignment horizontal="center" vertical="center"/>
    </xf>
    <xf numFmtId="3" fontId="5" fillId="0" borderId="7"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7" xfId="5" applyNumberFormat="1" applyFont="1" applyFill="1" applyBorder="1" applyAlignment="1">
      <alignment horizontal="center" vertical="center"/>
    </xf>
    <xf numFmtId="3" fontId="5" fillId="0" borderId="29" xfId="5" applyNumberFormat="1" applyFont="1" applyFill="1" applyBorder="1" applyAlignment="1">
      <alignment horizontal="center" vertical="center"/>
    </xf>
    <xf numFmtId="3" fontId="25" fillId="0" borderId="90" xfId="2" applyNumberFormat="1" applyFont="1" applyFill="1" applyBorder="1" applyAlignment="1">
      <alignment horizontal="center" vertical="center"/>
    </xf>
    <xf numFmtId="3" fontId="13" fillId="24" borderId="90" xfId="2" applyNumberFormat="1" applyFont="1" applyFill="1" applyBorder="1" applyAlignment="1">
      <alignment horizontal="center" vertical="center"/>
    </xf>
    <xf numFmtId="10" fontId="25" fillId="0" borderId="9" xfId="6" applyNumberFormat="1" applyFont="1" applyFill="1" applyBorder="1" applyAlignment="1">
      <alignment horizontal="center" vertical="center"/>
    </xf>
    <xf numFmtId="10" fontId="25" fillId="0" borderId="89" xfId="6" applyNumberFormat="1" applyFont="1" applyFill="1" applyBorder="1" applyAlignment="1">
      <alignment horizontal="center" vertical="center"/>
    </xf>
    <xf numFmtId="3" fontId="25" fillId="0" borderId="140" xfId="2" applyNumberFormat="1" applyFont="1" applyFill="1" applyBorder="1" applyAlignment="1">
      <alignment horizontal="center" vertical="center"/>
    </xf>
    <xf numFmtId="10" fontId="25" fillId="0" borderId="92" xfId="6" applyNumberFormat="1" applyFont="1" applyFill="1" applyBorder="1" applyAlignment="1">
      <alignment horizontal="center" vertical="center"/>
    </xf>
    <xf numFmtId="10" fontId="25" fillId="0" borderId="138" xfId="6" applyNumberFormat="1" applyFont="1" applyFill="1" applyBorder="1" applyAlignment="1">
      <alignment horizontal="center" vertical="center"/>
    </xf>
    <xf numFmtId="10" fontId="13" fillId="0" borderId="89" xfId="6" applyNumberFormat="1" applyFont="1" applyFill="1" applyBorder="1" applyAlignment="1">
      <alignment horizontal="center" vertical="center"/>
    </xf>
    <xf numFmtId="10" fontId="13" fillId="0" borderId="92" xfId="6" applyNumberFormat="1" applyFont="1" applyFill="1" applyBorder="1" applyAlignment="1">
      <alignment horizontal="center" vertical="center"/>
    </xf>
    <xf numFmtId="3" fontId="13" fillId="0" borderId="140" xfId="2" applyNumberFormat="1" applyFont="1" applyFill="1" applyBorder="1" applyAlignment="1">
      <alignment horizontal="center" vertical="center"/>
    </xf>
    <xf numFmtId="175" fontId="13" fillId="0" borderId="155" xfId="2" applyNumberFormat="1" applyFont="1" applyFill="1" applyBorder="1" applyAlignment="1">
      <alignment horizontal="center" vertical="center"/>
    </xf>
    <xf numFmtId="3" fontId="13" fillId="24" borderId="99" xfId="2" applyNumberFormat="1" applyFont="1" applyFill="1" applyBorder="1" applyAlignment="1">
      <alignment horizontal="center" vertical="center"/>
    </xf>
    <xf numFmtId="175" fontId="13" fillId="0" borderId="115" xfId="2" applyNumberFormat="1" applyFont="1" applyFill="1" applyBorder="1" applyAlignment="1">
      <alignment horizontal="center" vertical="center"/>
    </xf>
    <xf numFmtId="3" fontId="13" fillId="0" borderId="114" xfId="2" applyNumberFormat="1" applyFont="1" applyFill="1" applyBorder="1" applyAlignment="1">
      <alignment horizontal="center" vertical="center"/>
    </xf>
    <xf numFmtId="3" fontId="13" fillId="0" borderId="151" xfId="2" applyNumberFormat="1" applyFont="1" applyFill="1" applyBorder="1" applyAlignment="1">
      <alignment horizontal="center" vertical="center"/>
    </xf>
    <xf numFmtId="3" fontId="13" fillId="0" borderId="127" xfId="2" applyNumberFormat="1" applyFont="1" applyFill="1" applyBorder="1" applyAlignment="1">
      <alignment horizontal="center" vertical="center"/>
    </xf>
    <xf numFmtId="177" fontId="13" fillId="0" borderId="127" xfId="2" applyNumberFormat="1" applyFont="1" applyFill="1" applyBorder="1" applyAlignment="1">
      <alignment horizontal="center" vertical="center"/>
    </xf>
    <xf numFmtId="3" fontId="13" fillId="0" borderId="128" xfId="2" applyNumberFormat="1" applyFont="1" applyFill="1" applyBorder="1" applyAlignment="1">
      <alignment horizontal="center" vertical="center"/>
    </xf>
    <xf numFmtId="3" fontId="13" fillId="0" borderId="97" xfId="2" applyNumberFormat="1" applyFont="1" applyFill="1" applyBorder="1" applyAlignment="1">
      <alignment horizontal="center" vertical="center"/>
    </xf>
    <xf numFmtId="3" fontId="25" fillId="0" borderId="115" xfId="2" applyNumberFormat="1" applyFont="1" applyFill="1" applyBorder="1" applyAlignment="1">
      <alignment horizontal="center" vertical="center"/>
    </xf>
    <xf numFmtId="10" fontId="13" fillId="0" borderId="97" xfId="6" applyNumberFormat="1" applyFont="1" applyFill="1" applyBorder="1" applyAlignment="1">
      <alignment horizontal="center" vertical="center"/>
    </xf>
    <xf numFmtId="3" fontId="25" fillId="0" borderId="114" xfId="2" applyNumberFormat="1" applyFont="1" applyFill="1" applyBorder="1" applyAlignment="1">
      <alignment horizontal="center" vertical="center"/>
    </xf>
    <xf numFmtId="3" fontId="13" fillId="0" borderId="134" xfId="2" applyNumberFormat="1" applyFont="1" applyFill="1" applyBorder="1" applyAlignment="1">
      <alignment horizontal="center" vertical="center"/>
    </xf>
    <xf numFmtId="177" fontId="13" fillId="0" borderId="134" xfId="2" applyNumberFormat="1" applyFont="1" applyFill="1" applyBorder="1" applyAlignment="1">
      <alignment horizontal="center" vertical="center"/>
    </xf>
    <xf numFmtId="3" fontId="13" fillId="0" borderId="169" xfId="2" applyNumberFormat="1" applyFont="1" applyFill="1" applyBorder="1" applyAlignment="1">
      <alignment horizontal="center" vertical="center"/>
    </xf>
    <xf numFmtId="3" fontId="13" fillId="0" borderId="133" xfId="2" applyNumberFormat="1" applyFont="1" applyFill="1" applyBorder="1" applyAlignment="1">
      <alignment horizontal="center" vertical="center"/>
    </xf>
    <xf numFmtId="3" fontId="25" fillId="0" borderId="132" xfId="2" applyNumberFormat="1" applyFont="1" applyFill="1" applyBorder="1" applyAlignment="1">
      <alignment horizontal="center" vertical="center"/>
    </xf>
    <xf numFmtId="10" fontId="13" fillId="0" borderId="138" xfId="6" applyNumberFormat="1" applyFont="1" applyFill="1" applyBorder="1" applyAlignment="1">
      <alignment horizontal="center" vertical="center"/>
    </xf>
    <xf numFmtId="10" fontId="13" fillId="0" borderId="100" xfId="6" applyNumberFormat="1" applyFont="1" applyFill="1" applyBorder="1" applyAlignment="1">
      <alignment horizontal="center" vertical="center"/>
    </xf>
    <xf numFmtId="3" fontId="25" fillId="0" borderId="101" xfId="2" applyNumberFormat="1" applyFont="1" applyFill="1" applyBorder="1" applyAlignment="1">
      <alignment horizontal="center" vertical="center"/>
    </xf>
    <xf numFmtId="164" fontId="0" fillId="0" borderId="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173" fontId="0" fillId="0" borderId="91" xfId="0" applyNumberFormat="1" applyFont="1" applyFill="1" applyBorder="1" applyAlignment="1">
      <alignment horizontal="center" vertical="center" wrapText="1"/>
    </xf>
    <xf numFmtId="175" fontId="13" fillId="0" borderId="90" xfId="2" applyNumberFormat="1" applyFont="1" applyFill="1" applyBorder="1" applyAlignment="1">
      <alignment horizontal="center" vertical="center"/>
    </xf>
    <xf numFmtId="175" fontId="13" fillId="0" borderId="114" xfId="2" applyNumberFormat="1" applyFont="1" applyFill="1" applyBorder="1" applyAlignment="1">
      <alignment horizontal="center" vertical="center"/>
    </xf>
    <xf numFmtId="175" fontId="13" fillId="0" borderId="140" xfId="2" applyNumberFormat="1" applyFont="1" applyFill="1" applyBorder="1" applyAlignment="1">
      <alignment horizontal="center" vertical="center"/>
    </xf>
    <xf numFmtId="175" fontId="13" fillId="0" borderId="101" xfId="2" applyNumberFormat="1" applyFont="1" applyFill="1" applyBorder="1" applyAlignment="1">
      <alignment horizontal="center" vertical="center"/>
    </xf>
    <xf numFmtId="0" fontId="21" fillId="83" borderId="15" xfId="2" applyFont="1" applyFill="1" applyBorder="1" applyAlignment="1">
      <alignment vertical="center" wrapText="1"/>
    </xf>
    <xf numFmtId="0" fontId="21" fillId="83" borderId="135" xfId="2" applyFont="1" applyFill="1" applyBorder="1" applyAlignment="1">
      <alignment vertical="center" wrapText="1"/>
    </xf>
    <xf numFmtId="0" fontId="21" fillId="83" borderId="117" xfId="2" applyFont="1" applyFill="1" applyBorder="1" applyAlignment="1">
      <alignment vertical="center" wrapText="1"/>
    </xf>
    <xf numFmtId="0" fontId="21" fillId="83" borderId="154" xfId="2" applyFont="1" applyFill="1" applyBorder="1" applyAlignment="1">
      <alignment horizontal="center" vertical="center" wrapText="1"/>
    </xf>
    <xf numFmtId="0" fontId="21" fillId="83" borderId="120" xfId="2" applyFont="1" applyFill="1" applyBorder="1" applyAlignment="1">
      <alignment horizontal="center" vertical="center" wrapText="1"/>
    </xf>
    <xf numFmtId="0" fontId="21" fillId="83" borderId="16" xfId="2" applyFont="1" applyFill="1" applyBorder="1" applyAlignment="1">
      <alignment horizontal="center" vertical="center" wrapText="1"/>
    </xf>
    <xf numFmtId="0" fontId="21" fillId="85" borderId="15" xfId="2" applyFont="1" applyFill="1" applyBorder="1" applyAlignment="1">
      <alignment vertical="center" wrapText="1"/>
    </xf>
    <xf numFmtId="0" fontId="21" fillId="85" borderId="135" xfId="2" applyFont="1" applyFill="1" applyBorder="1" applyAlignment="1">
      <alignment vertical="center" wrapText="1"/>
    </xf>
    <xf numFmtId="0" fontId="21" fillId="85" borderId="117" xfId="2" applyFont="1" applyFill="1" applyBorder="1" applyAlignment="1">
      <alignment vertical="center" wrapText="1"/>
    </xf>
    <xf numFmtId="0" fontId="21" fillId="85" borderId="154" xfId="2" applyFont="1" applyFill="1" applyBorder="1" applyAlignment="1">
      <alignment horizontal="center" vertical="center" wrapText="1"/>
    </xf>
    <xf numFmtId="0" fontId="21" fillId="85" borderId="120" xfId="2" applyFont="1" applyFill="1" applyBorder="1" applyAlignment="1">
      <alignment horizontal="center" vertical="center" wrapText="1"/>
    </xf>
    <xf numFmtId="0" fontId="21" fillId="85" borderId="16" xfId="2" applyFont="1" applyFill="1" applyBorder="1" applyAlignment="1">
      <alignment horizontal="center" vertical="center" wrapText="1"/>
    </xf>
    <xf numFmtId="10" fontId="21" fillId="83" borderId="129" xfId="6" applyNumberFormat="1" applyFont="1" applyFill="1" applyBorder="1" applyAlignment="1">
      <alignment horizontal="center" vertical="center"/>
    </xf>
    <xf numFmtId="3" fontId="22" fillId="29" borderId="129" xfId="2" applyNumberFormat="1" applyFont="1" applyFill="1" applyBorder="1" applyAlignment="1">
      <alignment horizontal="center" vertical="center"/>
    </xf>
    <xf numFmtId="3" fontId="21" fillId="83" borderId="129" xfId="2" applyNumberFormat="1" applyFont="1" applyFill="1" applyBorder="1" applyAlignment="1">
      <alignment horizontal="center" vertical="center"/>
    </xf>
    <xf numFmtId="3" fontId="21" fillId="83" borderId="131" xfId="0" applyNumberFormat="1" applyFont="1" applyFill="1" applyBorder="1" applyAlignment="1">
      <alignment horizontal="center" vertical="center"/>
    </xf>
    <xf numFmtId="3" fontId="21" fillId="83" borderId="129" xfId="0" applyNumberFormat="1" applyFont="1" applyFill="1" applyBorder="1" applyAlignment="1">
      <alignment horizontal="center" vertical="center"/>
    </xf>
    <xf numFmtId="3" fontId="21" fillId="83" borderId="17" xfId="0" applyNumberFormat="1" applyFont="1" applyFill="1" applyBorder="1" applyAlignment="1">
      <alignment horizontal="center" vertical="center"/>
    </xf>
    <xf numFmtId="3" fontId="21" fillId="83" borderId="30" xfId="0" applyNumberFormat="1" applyFont="1" applyFill="1" applyBorder="1" applyAlignment="1">
      <alignment horizontal="center" vertical="center"/>
    </xf>
    <xf numFmtId="0" fontId="25" fillId="84" borderId="151" xfId="2" applyFont="1" applyFill="1" applyBorder="1" applyAlignment="1">
      <alignment horizontal="center" vertical="center" wrapText="1"/>
    </xf>
    <xf numFmtId="0" fontId="25" fillId="84" borderId="3" xfId="2" applyFont="1" applyFill="1" applyBorder="1" applyAlignment="1">
      <alignment horizontal="center" vertical="center" wrapText="1"/>
    </xf>
    <xf numFmtId="0" fontId="25" fillId="84" borderId="22" xfId="2" applyFont="1" applyFill="1" applyBorder="1" applyAlignment="1">
      <alignment horizontal="center" vertical="center" wrapText="1"/>
    </xf>
    <xf numFmtId="0" fontId="25" fillId="84" borderId="15" xfId="2" applyFont="1" applyFill="1" applyBorder="1" applyAlignment="1">
      <alignment horizontal="center" vertical="center" wrapText="1"/>
    </xf>
    <xf numFmtId="0" fontId="25" fillId="84" borderId="119" xfId="2" applyFont="1" applyFill="1" applyBorder="1" applyAlignment="1">
      <alignment horizontal="center" vertical="center" wrapText="1"/>
    </xf>
    <xf numFmtId="0" fontId="25" fillId="84" borderId="117" xfId="2" applyFont="1" applyFill="1" applyBorder="1" applyAlignment="1">
      <alignment horizontal="center" vertical="center" wrapText="1"/>
    </xf>
    <xf numFmtId="0" fontId="25" fillId="84" borderId="135" xfId="2" applyFont="1" applyFill="1" applyBorder="1" applyAlignment="1">
      <alignment horizontal="center" vertical="center" wrapText="1"/>
    </xf>
    <xf numFmtId="0" fontId="25" fillId="84" borderId="129" xfId="2" applyFont="1" applyFill="1" applyBorder="1" applyAlignment="1">
      <alignment horizontal="center" vertical="center" wrapText="1"/>
    </xf>
    <xf numFmtId="0" fontId="25" fillId="84" borderId="31" xfId="2" applyFont="1" applyFill="1" applyBorder="1" applyAlignment="1">
      <alignment horizontal="center" vertical="center" wrapText="1"/>
    </xf>
    <xf numFmtId="10" fontId="25" fillId="5" borderId="170" xfId="6" applyNumberFormat="1" applyFont="1" applyFill="1" applyBorder="1" applyAlignment="1">
      <alignment horizontal="center" vertical="center"/>
    </xf>
    <xf numFmtId="3" fontId="25" fillId="29" borderId="168" xfId="0" applyNumberFormat="1" applyFont="1" applyFill="1" applyBorder="1" applyAlignment="1">
      <alignment horizontal="center" vertical="center"/>
    </xf>
    <xf numFmtId="3" fontId="25" fillId="5" borderId="129" xfId="0" applyNumberFormat="1" applyFont="1" applyFill="1" applyBorder="1" applyAlignment="1">
      <alignment horizontal="center" vertical="center"/>
    </xf>
    <xf numFmtId="3" fontId="25" fillId="29" borderId="30" xfId="0" applyNumberFormat="1" applyFont="1" applyFill="1" applyBorder="1" applyAlignment="1">
      <alignment horizontal="center" vertical="center"/>
    </xf>
    <xf numFmtId="3" fontId="25" fillId="29" borderId="17" xfId="0" applyNumberFormat="1" applyFont="1" applyFill="1" applyBorder="1" applyAlignment="1">
      <alignment horizontal="center" vertical="center"/>
    </xf>
    <xf numFmtId="3" fontId="25" fillId="5" borderId="2" xfId="0" applyNumberFormat="1" applyFont="1" applyFill="1" applyBorder="1" applyAlignment="1">
      <alignment horizontal="center" vertical="center"/>
    </xf>
    <xf numFmtId="3" fontId="25" fillId="29" borderId="131" xfId="0" applyNumberFormat="1" applyFont="1" applyFill="1" applyBorder="1" applyAlignment="1">
      <alignment horizontal="center" vertical="center"/>
    </xf>
    <xf numFmtId="3" fontId="25" fillId="5" borderId="131" xfId="0" applyNumberFormat="1" applyFont="1" applyFill="1" applyBorder="1" applyAlignment="1">
      <alignment horizontal="center" vertical="center"/>
    </xf>
    <xf numFmtId="3" fontId="25" fillId="5" borderId="17" xfId="0" applyNumberFormat="1" applyFont="1" applyFill="1" applyBorder="1" applyAlignment="1">
      <alignment horizontal="center" vertical="center"/>
    </xf>
    <xf numFmtId="9" fontId="9" fillId="0" borderId="112" xfId="6" applyFont="1" applyBorder="1" applyAlignment="1">
      <alignment horizontal="center" vertical="center"/>
    </xf>
    <xf numFmtId="3" fontId="5" fillId="0" borderId="156" xfId="0" applyNumberFormat="1" applyFont="1" applyFill="1" applyBorder="1" applyAlignment="1">
      <alignment horizontal="center" vertical="center" wrapText="1"/>
    </xf>
    <xf numFmtId="164" fontId="0" fillId="0" borderId="145" xfId="0" applyNumberFormat="1" applyBorder="1" applyAlignment="1">
      <alignment horizontal="center" vertical="center"/>
    </xf>
    <xf numFmtId="164" fontId="0" fillId="0" borderId="171" xfId="0" applyNumberFormat="1" applyBorder="1" applyAlignment="1">
      <alignment horizontal="center" vertical="center"/>
    </xf>
    <xf numFmtId="3" fontId="5" fillId="0" borderId="171" xfId="5" applyNumberFormat="1" applyFont="1" applyFill="1" applyBorder="1" applyAlignment="1">
      <alignment horizontal="center" vertical="center"/>
    </xf>
    <xf numFmtId="3" fontId="13" fillId="0" borderId="171" xfId="2" applyNumberFormat="1" applyFont="1" applyBorder="1" applyAlignment="1">
      <alignment horizontal="center" vertical="center"/>
    </xf>
    <xf numFmtId="0" fontId="0" fillId="0" borderId="146" xfId="0" applyFont="1" applyBorder="1" applyAlignment="1">
      <alignment horizontal="center" vertical="center" wrapText="1"/>
    </xf>
    <xf numFmtId="3" fontId="5" fillId="0" borderId="146" xfId="0" applyNumberFormat="1" applyFont="1" applyFill="1" applyBorder="1" applyAlignment="1">
      <alignment horizontal="center" vertical="center" wrapText="1"/>
    </xf>
    <xf numFmtId="3" fontId="5" fillId="0" borderId="146" xfId="5" applyNumberFormat="1" applyFont="1" applyFill="1" applyBorder="1" applyAlignment="1">
      <alignment horizontal="center" vertical="center"/>
    </xf>
    <xf numFmtId="3" fontId="0" fillId="0" borderId="146" xfId="0" applyNumberFormat="1" applyFont="1" applyFill="1" applyBorder="1" applyAlignment="1">
      <alignment horizontal="center" vertical="center" wrapText="1"/>
    </xf>
    <xf numFmtId="0" fontId="0" fillId="0" borderId="145" xfId="0" applyFont="1" applyBorder="1" applyAlignment="1">
      <alignment horizontal="center" vertical="center" wrapText="1"/>
    </xf>
    <xf numFmtId="164" fontId="0" fillId="0" borderId="95" xfId="0" applyNumberFormat="1" applyBorder="1" applyAlignment="1">
      <alignment horizontal="center" vertical="center"/>
    </xf>
    <xf numFmtId="3" fontId="0" fillId="0" borderId="145" xfId="0" applyNumberFormat="1" applyFont="1" applyFill="1" applyBorder="1" applyAlignment="1">
      <alignment horizontal="center" vertical="center" wrapText="1"/>
    </xf>
    <xf numFmtId="3" fontId="5" fillId="0" borderId="156" xfId="5" applyNumberFormat="1" applyFont="1" applyFill="1" applyBorder="1" applyAlignment="1">
      <alignment horizontal="center" vertical="center"/>
    </xf>
    <xf numFmtId="3" fontId="13" fillId="0" borderId="145" xfId="2" applyNumberFormat="1" applyFont="1" applyBorder="1" applyAlignment="1">
      <alignment horizontal="center" vertical="center"/>
    </xf>
    <xf numFmtId="3" fontId="13" fillId="0" borderId="157" xfId="2" applyNumberFormat="1" applyFont="1" applyBorder="1" applyAlignment="1">
      <alignment horizontal="center" vertical="center"/>
    </xf>
    <xf numFmtId="0" fontId="4" fillId="0" borderId="168" xfId="2" applyFont="1" applyBorder="1"/>
    <xf numFmtId="3" fontId="5" fillId="0" borderId="171" xfId="0" applyNumberFormat="1" applyFont="1" applyBorder="1" applyAlignment="1">
      <alignment horizontal="center" vertical="center"/>
    </xf>
    <xf numFmtId="3" fontId="6" fillId="0" borderId="119" xfId="5" applyNumberFormat="1" applyFont="1" applyFill="1" applyBorder="1" applyAlignment="1">
      <alignment horizontal="center" vertical="center"/>
    </xf>
    <xf numFmtId="0" fontId="0" fillId="0" borderId="142" xfId="0" applyFont="1" applyBorder="1" applyAlignment="1">
      <alignment horizontal="center" vertical="center" wrapText="1"/>
    </xf>
    <xf numFmtId="164" fontId="0" fillId="0" borderId="15" xfId="0" applyNumberFormat="1" applyBorder="1" applyAlignment="1">
      <alignment horizontal="center" vertical="center"/>
    </xf>
    <xf numFmtId="164" fontId="0" fillId="0" borderId="117" xfId="0" applyNumberFormat="1" applyBorder="1" applyAlignment="1">
      <alignment horizontal="center" vertical="center"/>
    </xf>
    <xf numFmtId="9" fontId="4" fillId="0" borderId="117" xfId="6" applyFont="1" applyBorder="1" applyAlignment="1">
      <alignment horizontal="center" vertical="center"/>
    </xf>
    <xf numFmtId="3" fontId="5" fillId="0" borderId="16" xfId="0" applyNumberFormat="1" applyFont="1" applyFill="1" applyBorder="1" applyAlignment="1">
      <alignment horizontal="center" vertical="center" wrapText="1"/>
    </xf>
    <xf numFmtId="3" fontId="5" fillId="0" borderId="14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13" fillId="0" borderId="0" xfId="2" applyNumberFormat="1" applyFont="1" applyBorder="1" applyAlignment="1">
      <alignment horizontal="center" vertical="center"/>
    </xf>
    <xf numFmtId="3" fontId="5" fillId="0" borderId="139" xfId="0" applyNumberFormat="1" applyFont="1" applyBorder="1" applyAlignment="1">
      <alignment horizontal="center" vertical="center"/>
    </xf>
    <xf numFmtId="3" fontId="6" fillId="0" borderId="141" xfId="5" applyNumberFormat="1" applyFont="1" applyFill="1" applyBorder="1" applyAlignment="1">
      <alignment horizontal="center" vertical="center"/>
    </xf>
    <xf numFmtId="175" fontId="25" fillId="0" borderId="29" xfId="2" applyNumberFormat="1" applyFont="1" applyBorder="1" applyAlignment="1">
      <alignment horizontal="center" vertical="center"/>
    </xf>
    <xf numFmtId="3" fontId="25" fillId="0" borderId="99" xfId="2" applyNumberFormat="1" applyFont="1" applyBorder="1" applyAlignment="1">
      <alignment horizontal="center" vertical="center"/>
    </xf>
    <xf numFmtId="3" fontId="25" fillId="0" borderId="115" xfId="2" applyNumberFormat="1" applyFont="1" applyBorder="1" applyAlignment="1">
      <alignment horizontal="center" vertical="center"/>
    </xf>
    <xf numFmtId="3" fontId="21" fillId="83" borderId="131" xfId="2" applyNumberFormat="1" applyFont="1" applyFill="1" applyBorder="1" applyAlignment="1">
      <alignment horizontal="center" vertical="center"/>
    </xf>
    <xf numFmtId="3" fontId="10" fillId="0" borderId="146" xfId="2" applyNumberFormat="1" applyFont="1" applyBorder="1" applyAlignment="1">
      <alignment horizontal="center" vertical="center"/>
    </xf>
    <xf numFmtId="3" fontId="13" fillId="24" borderId="146" xfId="2" applyNumberFormat="1" applyFont="1" applyFill="1" applyBorder="1" applyAlignment="1">
      <alignment horizontal="center" vertical="center"/>
    </xf>
    <xf numFmtId="175" fontId="13" fillId="24" borderId="146" xfId="2" applyNumberFormat="1" applyFont="1" applyFill="1" applyBorder="1" applyAlignment="1">
      <alignment horizontal="center" vertical="center"/>
    </xf>
    <xf numFmtId="0" fontId="13" fillId="24" borderId="146" xfId="2" applyFont="1" applyFill="1" applyBorder="1"/>
    <xf numFmtId="10" fontId="0" fillId="0" borderId="146" xfId="6" applyNumberFormat="1" applyFont="1" applyBorder="1" applyAlignment="1">
      <alignment horizontal="center" vertical="center"/>
    </xf>
    <xf numFmtId="10" fontId="0" fillId="0" borderId="146" xfId="0" applyNumberFormat="1" applyBorder="1" applyAlignment="1">
      <alignment horizontal="center" vertical="center"/>
    </xf>
    <xf numFmtId="0" fontId="6" fillId="0" borderId="171" xfId="0" applyFont="1" applyFill="1" applyBorder="1" applyAlignment="1">
      <alignment horizontal="center" vertical="center"/>
    </xf>
    <xf numFmtId="0" fontId="6" fillId="0" borderId="171" xfId="0" applyFont="1" applyBorder="1" applyAlignment="1">
      <alignment horizontal="center" vertical="center"/>
    </xf>
    <xf numFmtId="1" fontId="6" fillId="0" borderId="139" xfId="0" applyNumberFormat="1" applyFont="1" applyFill="1" applyBorder="1" applyAlignment="1">
      <alignment horizontal="center" vertical="center"/>
    </xf>
    <xf numFmtId="0" fontId="0" fillId="0" borderId="147" xfId="0" applyFont="1" applyFill="1" applyBorder="1" applyAlignment="1">
      <alignment horizontal="center" vertical="center"/>
    </xf>
    <xf numFmtId="10" fontId="0" fillId="0" borderId="146" xfId="0" applyNumberFormat="1" applyFont="1" applyBorder="1" applyAlignment="1">
      <alignment horizontal="center" vertical="center"/>
    </xf>
    <xf numFmtId="10" fontId="0" fillId="0" borderId="148" xfId="0" applyNumberFormat="1" applyFill="1" applyBorder="1" applyAlignment="1">
      <alignment horizontal="center" vertical="center"/>
    </xf>
    <xf numFmtId="164" fontId="0" fillId="0" borderId="146" xfId="0" applyNumberFormat="1" applyFont="1" applyBorder="1" applyAlignment="1">
      <alignment horizontal="center" vertical="center"/>
    </xf>
    <xf numFmtId="10" fontId="0" fillId="0" borderId="148" xfId="0" applyNumberFormat="1" applyBorder="1" applyAlignment="1">
      <alignment horizontal="center" vertical="center"/>
    </xf>
    <xf numFmtId="0" fontId="0" fillId="0" borderId="149" xfId="0" applyFont="1" applyFill="1" applyBorder="1" applyAlignment="1">
      <alignment horizontal="center" vertical="center"/>
    </xf>
    <xf numFmtId="179" fontId="0" fillId="0" borderId="145" xfId="0" applyNumberFormat="1" applyFont="1" applyBorder="1" applyAlignment="1">
      <alignment horizontal="center" vertical="center"/>
    </xf>
    <xf numFmtId="179" fontId="0" fillId="0" borderId="156" xfId="0" applyNumberFormat="1" applyFont="1" applyBorder="1" applyAlignment="1">
      <alignment horizontal="center" vertical="center"/>
    </xf>
    <xf numFmtId="171" fontId="0" fillId="0" borderId="145" xfId="0" applyNumberFormat="1" applyBorder="1" applyAlignment="1">
      <alignment horizontal="center" vertical="center"/>
    </xf>
    <xf numFmtId="3" fontId="13" fillId="24" borderId="147" xfId="2" applyNumberFormat="1" applyFont="1" applyFill="1" applyBorder="1" applyAlignment="1">
      <alignment horizontal="center" vertical="center"/>
    </xf>
    <xf numFmtId="3" fontId="25" fillId="24" borderId="99" xfId="2" applyNumberFormat="1" applyFont="1" applyFill="1" applyBorder="1" applyAlignment="1">
      <alignment horizontal="center" vertical="center"/>
    </xf>
    <xf numFmtId="3" fontId="13" fillId="0" borderId="102" xfId="2" applyNumberFormat="1" applyFont="1" applyBorder="1" applyAlignment="1">
      <alignment horizontal="center" vertical="center"/>
    </xf>
    <xf numFmtId="3" fontId="13" fillId="29" borderId="129" xfId="2" applyNumberFormat="1" applyFont="1" applyFill="1" applyBorder="1" applyAlignment="1">
      <alignment horizontal="center" vertical="center"/>
    </xf>
    <xf numFmtId="0" fontId="4" fillId="29" borderId="129" xfId="2" applyFont="1" applyFill="1" applyBorder="1"/>
    <xf numFmtId="3" fontId="13" fillId="0" borderId="9" xfId="2" applyNumberFormat="1" applyFont="1" applyBorder="1" applyAlignment="1">
      <alignment horizontal="center" vertical="center"/>
    </xf>
    <xf numFmtId="175" fontId="13" fillId="0" borderId="16" xfId="2" applyNumberFormat="1" applyFont="1" applyBorder="1" applyAlignment="1">
      <alignment horizontal="center" vertical="center"/>
    </xf>
    <xf numFmtId="3" fontId="13" fillId="0" borderId="148" xfId="2" applyNumberFormat="1" applyFont="1" applyBorder="1" applyAlignment="1">
      <alignment horizontal="center" vertical="center"/>
    </xf>
    <xf numFmtId="175" fontId="13" fillId="0" borderId="148" xfId="2" applyNumberFormat="1" applyFont="1" applyBorder="1" applyAlignment="1">
      <alignment horizontal="center" vertical="center"/>
    </xf>
    <xf numFmtId="3" fontId="13" fillId="24" borderId="148" xfId="2" applyNumberFormat="1" applyFont="1" applyFill="1" applyBorder="1" applyAlignment="1">
      <alignment horizontal="center" vertical="center"/>
    </xf>
    <xf numFmtId="3" fontId="13" fillId="0" borderId="149" xfId="2" applyNumberFormat="1" applyFont="1" applyBorder="1" applyAlignment="1">
      <alignment horizontal="center" vertical="center"/>
    </xf>
    <xf numFmtId="3" fontId="13" fillId="0" borderId="145" xfId="5" applyNumberFormat="1" applyFont="1" applyBorder="1" applyAlignment="1">
      <alignment horizontal="center" vertical="center"/>
    </xf>
    <xf numFmtId="175" fontId="13" fillId="0" borderId="145" xfId="2" applyNumberFormat="1" applyFont="1" applyBorder="1" applyAlignment="1">
      <alignment horizontal="center" vertical="center"/>
    </xf>
    <xf numFmtId="175" fontId="13" fillId="0" borderId="96" xfId="2" applyNumberFormat="1" applyFont="1" applyBorder="1" applyAlignment="1">
      <alignment horizontal="center" vertical="center"/>
    </xf>
    <xf numFmtId="3" fontId="25" fillId="0" borderId="155" xfId="2" applyNumberFormat="1" applyFont="1" applyFill="1" applyBorder="1" applyAlignment="1">
      <alignment horizontal="center" vertical="center"/>
    </xf>
    <xf numFmtId="10" fontId="13" fillId="0" borderId="9" xfId="2" applyNumberFormat="1" applyFont="1" applyBorder="1" applyAlignment="1">
      <alignment horizontal="center" vertical="center"/>
    </xf>
    <xf numFmtId="10" fontId="13" fillId="0" borderId="147" xfId="2" applyNumberFormat="1" applyFont="1" applyBorder="1" applyAlignment="1">
      <alignment horizontal="center" vertical="center"/>
    </xf>
    <xf numFmtId="175" fontId="13" fillId="24" borderId="148" xfId="2" applyNumberFormat="1" applyFont="1" applyFill="1" applyBorder="1" applyAlignment="1">
      <alignment horizontal="center" vertical="center"/>
    </xf>
    <xf numFmtId="10" fontId="13" fillId="0" borderId="149" xfId="2" applyNumberFormat="1" applyFont="1" applyBorder="1" applyAlignment="1">
      <alignment horizontal="center" vertical="center"/>
    </xf>
    <xf numFmtId="175" fontId="13" fillId="0" borderId="150" xfId="2" applyNumberFormat="1" applyFont="1" applyBorder="1" applyAlignment="1">
      <alignment horizontal="center" vertical="center"/>
    </xf>
    <xf numFmtId="10" fontId="13" fillId="0" borderId="9" xfId="6" applyNumberFormat="1" applyFont="1" applyBorder="1" applyAlignment="1">
      <alignment horizontal="center" vertical="center"/>
    </xf>
    <xf numFmtId="175" fontId="13" fillId="0" borderId="10" xfId="2" applyNumberFormat="1" applyFont="1" applyBorder="1" applyAlignment="1">
      <alignment horizontal="center" vertical="center"/>
    </xf>
    <xf numFmtId="10" fontId="13" fillId="0" borderId="147" xfId="6" applyNumberFormat="1" applyFont="1" applyBorder="1" applyAlignment="1">
      <alignment horizontal="center" vertical="center"/>
    </xf>
    <xf numFmtId="10" fontId="13" fillId="0" borderId="149" xfId="6" applyNumberFormat="1" applyFont="1" applyBorder="1" applyAlignment="1">
      <alignment horizontal="center" vertical="center"/>
    </xf>
    <xf numFmtId="3" fontId="13" fillId="24" borderId="102" xfId="2" applyNumberFormat="1" applyFont="1" applyFill="1" applyBorder="1" applyAlignment="1">
      <alignment horizontal="center" vertical="center"/>
    </xf>
    <xf numFmtId="3" fontId="13" fillId="0" borderId="10" xfId="2" applyNumberFormat="1" applyFont="1" applyBorder="1" applyAlignment="1">
      <alignment horizontal="center" vertical="center"/>
    </xf>
    <xf numFmtId="3" fontId="13" fillId="0" borderId="150" xfId="2" applyNumberFormat="1" applyFont="1" applyBorder="1" applyAlignment="1">
      <alignment horizontal="center" vertical="center"/>
    </xf>
    <xf numFmtId="10" fontId="21" fillId="85" borderId="129" xfId="6" applyNumberFormat="1" applyFont="1" applyFill="1" applyBorder="1" applyAlignment="1">
      <alignment horizontal="center" vertical="center"/>
    </xf>
    <xf numFmtId="3" fontId="21" fillId="85" borderId="129" xfId="2" applyNumberFormat="1" applyFont="1" applyFill="1" applyBorder="1" applyAlignment="1">
      <alignment horizontal="center" vertical="center"/>
    </xf>
    <xf numFmtId="3" fontId="21" fillId="85" borderId="131" xfId="0" applyNumberFormat="1" applyFont="1" applyFill="1" applyBorder="1" applyAlignment="1">
      <alignment horizontal="center" vertical="center"/>
    </xf>
    <xf numFmtId="3" fontId="21" fillId="85" borderId="129" xfId="0" applyNumberFormat="1" applyFont="1" applyFill="1" applyBorder="1" applyAlignment="1">
      <alignment horizontal="center" vertical="center"/>
    </xf>
    <xf numFmtId="3" fontId="21" fillId="85" borderId="30" xfId="0" applyNumberFormat="1" applyFont="1" applyFill="1" applyBorder="1" applyAlignment="1">
      <alignment horizontal="center" vertical="center"/>
    </xf>
    <xf numFmtId="3" fontId="21" fillId="85" borderId="17" xfId="2" applyNumberFormat="1" applyFont="1" applyFill="1" applyBorder="1" applyAlignment="1">
      <alignment horizontal="center" vertical="center"/>
    </xf>
    <xf numFmtId="0" fontId="4" fillId="0" borderId="153" xfId="2" applyFont="1" applyBorder="1"/>
    <xf numFmtId="3" fontId="6" fillId="0" borderId="95" xfId="0" applyNumberFormat="1" applyFont="1" applyBorder="1" applyAlignment="1">
      <alignment horizontal="center" vertical="center"/>
    </xf>
    <xf numFmtId="3" fontId="6" fillId="0" borderId="96" xfId="0" applyNumberFormat="1" applyFont="1" applyBorder="1" applyAlignment="1">
      <alignment horizontal="center" vertical="center"/>
    </xf>
    <xf numFmtId="3" fontId="6" fillId="0" borderId="146" xfId="0" applyNumberFormat="1" applyFont="1" applyFill="1" applyBorder="1" applyAlignment="1">
      <alignment horizontal="center" vertical="center"/>
    </xf>
    <xf numFmtId="3" fontId="9" fillId="0" borderId="148" xfId="2" applyNumberFormat="1" applyFont="1" applyBorder="1" applyAlignment="1">
      <alignment horizontal="center" vertical="center"/>
    </xf>
    <xf numFmtId="9" fontId="0" fillId="0" borderId="146" xfId="0" applyNumberFormat="1" applyFont="1" applyFill="1" applyBorder="1" applyAlignment="1">
      <alignment horizontal="center" vertical="center"/>
    </xf>
    <xf numFmtId="9" fontId="0" fillId="0" borderId="146" xfId="6" applyNumberFormat="1" applyFont="1" applyFill="1" applyBorder="1" applyAlignment="1">
      <alignment horizontal="center" vertical="center"/>
    </xf>
    <xf numFmtId="9" fontId="10" fillId="0" borderId="148" xfId="6" applyFont="1" applyBorder="1" applyAlignment="1">
      <alignment horizontal="center" vertical="center"/>
    </xf>
    <xf numFmtId="3" fontId="10" fillId="0" borderId="148" xfId="2" applyNumberFormat="1" applyFont="1" applyBorder="1" applyAlignment="1">
      <alignment horizontal="center" vertical="center"/>
    </xf>
    <xf numFmtId="3" fontId="0" fillId="0" borderId="146" xfId="0" applyNumberFormat="1" applyFont="1" applyFill="1" applyBorder="1" applyAlignment="1">
      <alignment horizontal="center" vertical="center"/>
    </xf>
    <xf numFmtId="3" fontId="10" fillId="81" borderId="146" xfId="2" applyNumberFormat="1" applyFont="1" applyFill="1" applyBorder="1" applyAlignment="1">
      <alignment horizontal="center" vertical="center"/>
    </xf>
    <xf numFmtId="3" fontId="10" fillId="81" borderId="148" xfId="2" applyNumberFormat="1" applyFont="1" applyFill="1" applyBorder="1" applyAlignment="1">
      <alignment horizontal="center" vertical="center"/>
    </xf>
    <xf numFmtId="3" fontId="6" fillId="0" borderId="148" xfId="0" applyNumberFormat="1" applyFont="1" applyFill="1" applyBorder="1" applyAlignment="1">
      <alignment horizontal="center" vertical="center"/>
    </xf>
    <xf numFmtId="3" fontId="6" fillId="0" borderId="145" xfId="0" applyNumberFormat="1" applyFont="1" applyFill="1" applyBorder="1" applyAlignment="1">
      <alignment horizontal="center" vertical="center"/>
    </xf>
    <xf numFmtId="3" fontId="6" fillId="0" borderId="156" xfId="0" applyNumberFormat="1" applyFont="1" applyFill="1" applyBorder="1" applyAlignment="1">
      <alignment horizontal="center" vertical="center"/>
    </xf>
    <xf numFmtId="10" fontId="13" fillId="0" borderId="91" xfId="6" applyNumberFormat="1" applyFont="1" applyFill="1" applyBorder="1" applyAlignment="1">
      <alignment horizontal="center" vertical="center"/>
    </xf>
    <xf numFmtId="172" fontId="79" fillId="0" borderId="36" xfId="0" applyNumberFormat="1" applyFont="1" applyFill="1" applyBorder="1" applyAlignment="1">
      <alignment horizontal="center" vertical="center"/>
    </xf>
    <xf numFmtId="172" fontId="79" fillId="0" borderId="112" xfId="0" applyNumberFormat="1" applyFont="1" applyFill="1" applyBorder="1" applyAlignment="1">
      <alignment horizontal="center" vertical="center"/>
    </xf>
    <xf numFmtId="172" fontId="79" fillId="0" borderId="111" xfId="0" applyNumberFormat="1" applyFont="1" applyFill="1" applyBorder="1" applyAlignment="1">
      <alignment horizontal="center" vertical="center"/>
    </xf>
    <xf numFmtId="172" fontId="79" fillId="0" borderId="172" xfId="0" applyNumberFormat="1" applyFont="1" applyFill="1" applyBorder="1" applyAlignment="1">
      <alignment horizontal="center" vertical="center"/>
    </xf>
    <xf numFmtId="172" fontId="79" fillId="0" borderId="137" xfId="0" applyNumberFormat="1" applyFont="1" applyFill="1" applyBorder="1" applyAlignment="1">
      <alignment horizontal="center" vertical="center"/>
    </xf>
    <xf numFmtId="172" fontId="79" fillId="77" borderId="36" xfId="0" applyNumberFormat="1" applyFont="1" applyFill="1" applyBorder="1" applyAlignment="1">
      <alignment horizontal="center" vertical="center"/>
    </xf>
    <xf numFmtId="0" fontId="82" fillId="73" borderId="100" xfId="0" applyFont="1" applyFill="1" applyBorder="1" applyAlignment="1">
      <alignment horizontal="center" vertical="center" wrapText="1"/>
    </xf>
    <xf numFmtId="172" fontId="79" fillId="0" borderId="138" xfId="0" applyNumberFormat="1" applyFont="1" applyFill="1" applyBorder="1" applyAlignment="1">
      <alignment horizontal="center" vertical="center"/>
    </xf>
    <xf numFmtId="0" fontId="82" fillId="73" borderId="101" xfId="0" applyFont="1" applyFill="1" applyBorder="1" applyAlignment="1">
      <alignment horizontal="center" vertical="center" wrapText="1"/>
    </xf>
    <xf numFmtId="172" fontId="79" fillId="0" borderId="29" xfId="0" applyNumberFormat="1" applyFont="1" applyFill="1" applyBorder="1" applyAlignment="1">
      <alignment horizontal="center" vertical="center"/>
    </xf>
    <xf numFmtId="172" fontId="79" fillId="0" borderId="99" xfId="0" applyNumberFormat="1" applyFont="1" applyFill="1" applyBorder="1" applyAlignment="1">
      <alignment horizontal="center" vertical="center"/>
    </xf>
    <xf numFmtId="172" fontId="79" fillId="0" borderId="156" xfId="0" applyNumberFormat="1" applyFont="1" applyFill="1" applyBorder="1" applyAlignment="1">
      <alignment horizontal="center" vertical="center"/>
    </xf>
    <xf numFmtId="172" fontId="79" fillId="0" borderId="155" xfId="0" applyNumberFormat="1" applyFont="1" applyFill="1" applyBorder="1" applyAlignment="1">
      <alignment horizontal="center" vertical="center"/>
    </xf>
    <xf numFmtId="172" fontId="79" fillId="0" borderId="115" xfId="0" applyNumberFormat="1" applyFont="1" applyFill="1" applyBorder="1" applyAlignment="1">
      <alignment horizontal="center" vertical="center"/>
    </xf>
    <xf numFmtId="172" fontId="79" fillId="77" borderId="29" xfId="0" applyNumberFormat="1" applyFont="1" applyFill="1" applyBorder="1" applyAlignment="1">
      <alignment horizontal="center" vertical="center"/>
    </xf>
    <xf numFmtId="3" fontId="81" fillId="80" borderId="131" xfId="0" applyNumberFormat="1" applyFont="1" applyFill="1" applyBorder="1" applyAlignment="1">
      <alignment horizontal="center" vertical="center"/>
    </xf>
    <xf numFmtId="164" fontId="81" fillId="80" borderId="30" xfId="0" applyNumberFormat="1" applyFont="1" applyFill="1" applyBorder="1" applyAlignment="1">
      <alignment horizontal="center" vertical="center"/>
    </xf>
    <xf numFmtId="164" fontId="81" fillId="80" borderId="2" xfId="0" applyNumberFormat="1" applyFont="1" applyFill="1" applyBorder="1" applyAlignment="1">
      <alignment horizontal="center" vertical="center"/>
    </xf>
    <xf numFmtId="0" fontId="0" fillId="24" borderId="2" xfId="0" applyFill="1" applyBorder="1"/>
    <xf numFmtId="0" fontId="0" fillId="24" borderId="31" xfId="0" applyFill="1" applyBorder="1"/>
    <xf numFmtId="3" fontId="79" fillId="0" borderId="147" xfId="0" applyNumberFormat="1" applyFont="1" applyFill="1" applyBorder="1" applyAlignment="1">
      <alignment horizontal="center" vertical="center"/>
    </xf>
    <xf numFmtId="3" fontId="79" fillId="0" borderId="149" xfId="0" applyNumberFormat="1" applyFont="1" applyFill="1" applyBorder="1" applyAlignment="1">
      <alignment horizontal="center" vertical="center"/>
    </xf>
    <xf numFmtId="3" fontId="79" fillId="0" borderId="138" xfId="0" applyNumberFormat="1" applyFont="1" applyFill="1" applyBorder="1" applyAlignment="1">
      <alignment horizontal="center" vertical="center"/>
    </xf>
    <xf numFmtId="3" fontId="79" fillId="0" borderId="173" xfId="0" applyNumberFormat="1" applyFont="1" applyFill="1" applyBorder="1" applyAlignment="1">
      <alignment horizontal="center" vertical="center"/>
    </xf>
    <xf numFmtId="3" fontId="79" fillId="0" borderId="172" xfId="0" applyNumberFormat="1" applyFont="1" applyFill="1" applyBorder="1" applyAlignment="1">
      <alignment horizontal="center" vertical="center"/>
    </xf>
    <xf numFmtId="0" fontId="82" fillId="73" borderId="131" xfId="0" applyFont="1" applyFill="1" applyBorder="1" applyAlignment="1">
      <alignment horizontal="center" vertical="center" wrapText="1"/>
    </xf>
    <xf numFmtId="0" fontId="82" fillId="74" borderId="100" xfId="0" applyFont="1" applyFill="1" applyBorder="1" applyAlignment="1">
      <alignment horizontal="center" vertical="center" wrapText="1"/>
    </xf>
    <xf numFmtId="0" fontId="82" fillId="74" borderId="101" xfId="0" applyFont="1" applyFill="1" applyBorder="1" applyAlignment="1">
      <alignment horizontal="center" vertical="center" wrapText="1"/>
    </xf>
    <xf numFmtId="0" fontId="82" fillId="74" borderId="17" xfId="0" applyFont="1" applyFill="1" applyBorder="1" applyAlignment="1">
      <alignment horizontal="center" vertical="center" wrapText="1"/>
    </xf>
    <xf numFmtId="3" fontId="79" fillId="0" borderId="29" xfId="0" applyNumberFormat="1" applyFont="1" applyFill="1" applyBorder="1" applyAlignment="1">
      <alignment horizontal="center" vertical="center"/>
    </xf>
    <xf numFmtId="3" fontId="79" fillId="0" borderId="99" xfId="0" applyNumberFormat="1" applyFont="1" applyFill="1" applyBorder="1" applyAlignment="1">
      <alignment horizontal="center" vertical="center"/>
    </xf>
    <xf numFmtId="3" fontId="79" fillId="0" borderId="156" xfId="0" applyNumberFormat="1" applyFont="1" applyFill="1" applyBorder="1" applyAlignment="1">
      <alignment horizontal="center" vertical="center"/>
    </xf>
    <xf numFmtId="3" fontId="79" fillId="0" borderId="155" xfId="0" applyNumberFormat="1" applyFont="1" applyFill="1" applyBorder="1" applyAlignment="1">
      <alignment horizontal="center" vertical="center"/>
    </xf>
    <xf numFmtId="3" fontId="79" fillId="0" borderId="115" xfId="0" applyNumberFormat="1" applyFont="1" applyFill="1" applyBorder="1" applyAlignment="1">
      <alignment horizontal="center" vertical="center"/>
    </xf>
    <xf numFmtId="3" fontId="79" fillId="77" borderId="29" xfId="0" applyNumberFormat="1" applyFont="1" applyFill="1" applyBorder="1" applyAlignment="1">
      <alignment horizontal="center" vertical="center"/>
    </xf>
    <xf numFmtId="3" fontId="79" fillId="0" borderId="148" xfId="0" applyNumberFormat="1" applyFont="1" applyFill="1" applyBorder="1" applyAlignment="1">
      <alignment horizontal="center" vertical="center"/>
    </xf>
    <xf numFmtId="3" fontId="79" fillId="0" borderId="150" xfId="0" applyNumberFormat="1" applyFont="1" applyFill="1" applyBorder="1" applyAlignment="1">
      <alignment horizontal="center" vertical="center"/>
    </xf>
    <xf numFmtId="3" fontId="79" fillId="0" borderId="139" xfId="0" applyNumberFormat="1" applyFont="1" applyFill="1" applyBorder="1" applyAlignment="1">
      <alignment horizontal="center" vertical="center"/>
    </xf>
    <xf numFmtId="3" fontId="79" fillId="77" borderId="10" xfId="0" applyNumberFormat="1" applyFont="1" applyFill="1" applyBorder="1" applyAlignment="1">
      <alignment horizontal="center" vertical="center"/>
    </xf>
    <xf numFmtId="3" fontId="81" fillId="74" borderId="2" xfId="0" applyNumberFormat="1" applyFont="1" applyFill="1" applyBorder="1" applyAlignment="1">
      <alignment horizontal="center" vertical="center"/>
    </xf>
    <xf numFmtId="3" fontId="81" fillId="74" borderId="131" xfId="0" applyNumberFormat="1" applyFont="1" applyFill="1" applyBorder="1" applyAlignment="1">
      <alignment horizontal="center" vertical="center"/>
    </xf>
    <xf numFmtId="0" fontId="82" fillId="74" borderId="131" xfId="0" applyFont="1" applyFill="1" applyBorder="1" applyAlignment="1">
      <alignment horizontal="center" vertical="center" wrapText="1"/>
    </xf>
    <xf numFmtId="0" fontId="82" fillId="79" borderId="101" xfId="0" applyFont="1" applyFill="1" applyBorder="1" applyAlignment="1">
      <alignment horizontal="center" vertical="center" wrapText="1"/>
    </xf>
    <xf numFmtId="3" fontId="81" fillId="78" borderId="100" xfId="0" applyNumberFormat="1" applyFont="1" applyFill="1" applyBorder="1" applyAlignment="1">
      <alignment horizontal="center" vertical="center"/>
    </xf>
    <xf numFmtId="3" fontId="81" fillId="78" borderId="101" xfId="0" applyNumberFormat="1" applyFont="1" applyFill="1" applyBorder="1" applyAlignment="1">
      <alignment horizontal="center" vertical="center"/>
    </xf>
    <xf numFmtId="3" fontId="81" fillId="78" borderId="17" xfId="0" applyNumberFormat="1" applyFont="1" applyFill="1" applyBorder="1" applyAlignment="1">
      <alignment horizontal="center" vertical="center"/>
    </xf>
    <xf numFmtId="0" fontId="82" fillId="79" borderId="131" xfId="0" applyFont="1" applyFill="1" applyBorder="1" applyAlignment="1">
      <alignment horizontal="center" vertical="center" wrapText="1"/>
    </xf>
    <xf numFmtId="0" fontId="82" fillId="75" borderId="100" xfId="0" applyFont="1" applyFill="1" applyBorder="1" applyAlignment="1">
      <alignment horizontal="center" vertical="center" wrapText="1"/>
    </xf>
    <xf numFmtId="0" fontId="82" fillId="75" borderId="101" xfId="0" applyFont="1" applyFill="1" applyBorder="1" applyAlignment="1">
      <alignment horizontal="center" vertical="center" wrapText="1"/>
    </xf>
    <xf numFmtId="3" fontId="81" fillId="80" borderId="30" xfId="0" applyNumberFormat="1" applyFont="1" applyFill="1" applyBorder="1" applyAlignment="1">
      <alignment horizontal="center" vertical="center"/>
    </xf>
    <xf numFmtId="3" fontId="79" fillId="80" borderId="2" xfId="0" applyNumberFormat="1" applyFont="1" applyFill="1" applyBorder="1" applyAlignment="1">
      <alignment horizontal="center" vertical="center"/>
    </xf>
    <xf numFmtId="3" fontId="79" fillId="80" borderId="31" xfId="0" applyNumberFormat="1" applyFont="1" applyFill="1" applyBorder="1" applyAlignment="1">
      <alignment horizontal="center" vertical="center"/>
    </xf>
    <xf numFmtId="0" fontId="82" fillId="75" borderId="131" xfId="0" applyFont="1" applyFill="1" applyBorder="1" applyAlignment="1">
      <alignment horizontal="center" vertical="center" wrapText="1"/>
    </xf>
    <xf numFmtId="0" fontId="82" fillId="76" borderId="117" xfId="0" applyFont="1" applyFill="1" applyBorder="1" applyAlignment="1">
      <alignment horizontal="center" vertical="center" wrapText="1"/>
    </xf>
    <xf numFmtId="3" fontId="79" fillId="0" borderId="146" xfId="0" applyNumberFormat="1" applyFont="1" applyFill="1" applyBorder="1" applyAlignment="1">
      <alignment horizontal="center" vertical="center"/>
    </xf>
    <xf numFmtId="3" fontId="79" fillId="77" borderId="146" xfId="0" applyNumberFormat="1" applyFont="1" applyFill="1" applyBorder="1" applyAlignment="1">
      <alignment horizontal="center" vertical="center"/>
    </xf>
    <xf numFmtId="3" fontId="79" fillId="0" borderId="7" xfId="0" applyNumberFormat="1" applyFont="1" applyFill="1" applyBorder="1" applyAlignment="1">
      <alignment horizontal="center" vertical="center"/>
    </xf>
    <xf numFmtId="3" fontId="79" fillId="77" borderId="147" xfId="0" applyNumberFormat="1" applyFont="1" applyFill="1" applyBorder="1" applyAlignment="1">
      <alignment horizontal="center" vertical="center"/>
    </xf>
    <xf numFmtId="3" fontId="79" fillId="0" borderId="145" xfId="0" applyNumberFormat="1" applyFont="1" applyFill="1" applyBorder="1" applyAlignment="1">
      <alignment horizontal="center" vertical="center"/>
    </xf>
    <xf numFmtId="3" fontId="0" fillId="0" borderId="7" xfId="0" applyNumberFormat="1" applyBorder="1" applyAlignment="1">
      <alignment horizontal="center" vertical="center"/>
    </xf>
    <xf numFmtId="0" fontId="0" fillId="0" borderId="148" xfId="0" applyBorder="1" applyAlignment="1">
      <alignment horizontal="center" vertical="center"/>
    </xf>
    <xf numFmtId="0" fontId="0" fillId="24" borderId="146" xfId="0" applyFill="1" applyBorder="1" applyAlignment="1">
      <alignment horizontal="center" vertical="center"/>
    </xf>
    <xf numFmtId="0" fontId="0" fillId="24" borderId="148" xfId="0" applyFill="1" applyBorder="1" applyAlignment="1">
      <alignment horizontal="center" vertical="center"/>
    </xf>
    <xf numFmtId="3" fontId="0" fillId="0" borderId="10" xfId="0" applyNumberFormat="1" applyBorder="1" applyAlignment="1">
      <alignment horizontal="center" vertical="center"/>
    </xf>
    <xf numFmtId="3" fontId="0" fillId="0" borderId="148" xfId="0" applyNumberFormat="1" applyBorder="1" applyAlignment="1">
      <alignment horizontal="center" vertical="center"/>
    </xf>
    <xf numFmtId="3" fontId="0" fillId="0" borderId="150" xfId="0" applyNumberFormat="1" applyBorder="1" applyAlignment="1">
      <alignment horizontal="center" vertical="center"/>
    </xf>
    <xf numFmtId="0" fontId="82" fillId="79" borderId="130" xfId="0" applyFont="1" applyFill="1" applyBorder="1" applyAlignment="1">
      <alignment horizontal="center" vertical="center" wrapText="1"/>
    </xf>
    <xf numFmtId="3" fontId="81" fillId="0" borderId="2" xfId="0" applyNumberFormat="1" applyFont="1" applyFill="1" applyBorder="1" applyAlignment="1">
      <alignment horizontal="center" vertical="center"/>
    </xf>
    <xf numFmtId="0" fontId="0" fillId="0" borderId="89" xfId="0" applyFont="1" applyFill="1" applyBorder="1" applyAlignment="1">
      <alignment wrapText="1"/>
    </xf>
    <xf numFmtId="2" fontId="0" fillId="0" borderId="78"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29" xfId="2" applyNumberFormat="1" applyFont="1" applyBorder="1" applyAlignment="1">
      <alignment horizontal="center" vertical="center"/>
    </xf>
    <xf numFmtId="0" fontId="9" fillId="0" borderId="10" xfId="2" applyFont="1" applyBorder="1" applyAlignment="1">
      <alignment horizontal="center" vertical="center"/>
    </xf>
    <xf numFmtId="3" fontId="6" fillId="0" borderId="150" xfId="0" applyNumberFormat="1" applyFont="1" applyFill="1" applyBorder="1" applyAlignment="1">
      <alignment horizontal="center" vertical="center"/>
    </xf>
    <xf numFmtId="0" fontId="6" fillId="0" borderId="140" xfId="0" applyFont="1" applyFill="1" applyBorder="1" applyAlignment="1">
      <alignment horizontal="center" vertical="center" wrapText="1"/>
    </xf>
    <xf numFmtId="3" fontId="0" fillId="0" borderId="1" xfId="0" applyNumberFormat="1" applyFont="1" applyFill="1" applyBorder="1" applyAlignment="1">
      <alignment horizontal="center" vertical="center"/>
    </xf>
    <xf numFmtId="9" fontId="0" fillId="0" borderId="148" xfId="0" applyNumberFormat="1" applyFill="1" applyBorder="1" applyAlignment="1">
      <alignment horizontal="center" vertical="center"/>
    </xf>
    <xf numFmtId="3" fontId="0" fillId="3" borderId="156" xfId="0" applyNumberFormat="1" applyFill="1" applyBorder="1" applyAlignment="1">
      <alignment horizontal="center" vertical="center"/>
    </xf>
    <xf numFmtId="0" fontId="23" fillId="0" borderId="0" xfId="0" applyFont="1" applyFill="1" applyBorder="1" applyAlignment="1">
      <alignment vertical="center" wrapText="1"/>
    </xf>
    <xf numFmtId="0" fontId="21" fillId="25" borderId="9" xfId="0" applyFont="1" applyFill="1" applyBorder="1" applyAlignment="1">
      <alignment horizontal="center" vertical="center"/>
    </xf>
    <xf numFmtId="0" fontId="6" fillId="6" borderId="7" xfId="0" applyFont="1" applyFill="1" applyBorder="1" applyAlignment="1">
      <alignment horizontal="center" vertical="center" wrapText="1"/>
    </xf>
    <xf numFmtId="0" fontId="6" fillId="28" borderId="7" xfId="0" applyFont="1" applyFill="1" applyBorder="1" applyAlignment="1">
      <alignment horizontal="center" vertical="center" wrapText="1"/>
    </xf>
    <xf numFmtId="0" fontId="6" fillId="22"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29" borderId="29"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23" borderId="10" xfId="0" applyFont="1" applyFill="1" applyBorder="1" applyAlignment="1">
      <alignment horizontal="center" vertical="center" wrapText="1"/>
    </xf>
    <xf numFmtId="3" fontId="0" fillId="24" borderId="146" xfId="0" applyNumberFormat="1" applyFill="1" applyBorder="1" applyAlignment="1">
      <alignment horizontal="center" vertical="center"/>
    </xf>
    <xf numFmtId="3" fontId="0" fillId="23" borderId="148" xfId="0" applyNumberFormat="1" applyFill="1" applyBorder="1" applyAlignment="1">
      <alignment horizontal="center" vertical="center"/>
    </xf>
    <xf numFmtId="3" fontId="0" fillId="6" borderId="146" xfId="0" applyNumberFormat="1" applyFont="1" applyFill="1" applyBorder="1" applyAlignment="1">
      <alignment horizontal="center" vertical="center"/>
    </xf>
    <xf numFmtId="3" fontId="0" fillId="28" borderId="146" xfId="0" applyNumberFormat="1" applyFont="1" applyFill="1" applyBorder="1" applyAlignment="1">
      <alignment horizontal="center" vertical="center"/>
    </xf>
    <xf numFmtId="3" fontId="0" fillId="22" borderId="146" xfId="0" applyNumberFormat="1" applyFont="1" applyFill="1" applyBorder="1" applyAlignment="1">
      <alignment horizontal="center" vertical="center"/>
    </xf>
    <xf numFmtId="3" fontId="0" fillId="5" borderId="146" xfId="0" applyNumberFormat="1" applyFont="1" applyFill="1" applyBorder="1" applyAlignment="1">
      <alignment horizontal="center" vertical="center"/>
    </xf>
    <xf numFmtId="3" fontId="0" fillId="24" borderId="148" xfId="0" applyNumberFormat="1" applyFill="1" applyBorder="1" applyAlignment="1">
      <alignment horizontal="center" vertical="center"/>
    </xf>
    <xf numFmtId="3" fontId="0" fillId="6" borderId="157" xfId="0" applyNumberFormat="1" applyFont="1" applyFill="1" applyBorder="1" applyAlignment="1">
      <alignment horizontal="center" vertical="center"/>
    </xf>
    <xf numFmtId="3" fontId="0" fillId="28" borderId="157" xfId="0" applyNumberFormat="1" applyFont="1" applyFill="1" applyBorder="1" applyAlignment="1">
      <alignment horizontal="center" vertical="center"/>
    </xf>
    <xf numFmtId="3" fontId="0" fillId="22" borderId="157" xfId="0" applyNumberFormat="1" applyFont="1" applyFill="1" applyBorder="1" applyAlignment="1">
      <alignment horizontal="center" vertical="center"/>
    </xf>
    <xf numFmtId="3" fontId="0" fillId="5" borderId="157" xfId="0" applyNumberFormat="1" applyFont="1" applyFill="1" applyBorder="1" applyAlignment="1">
      <alignment horizontal="center" vertical="center"/>
    </xf>
    <xf numFmtId="3" fontId="0" fillId="29" borderId="146" xfId="0" applyNumberFormat="1" applyFont="1" applyFill="1" applyBorder="1" applyAlignment="1">
      <alignment horizontal="center" vertical="center"/>
    </xf>
    <xf numFmtId="3" fontId="0" fillId="3" borderId="146" xfId="0" applyNumberFormat="1" applyFill="1" applyBorder="1" applyAlignment="1">
      <alignment horizontal="center" vertical="center"/>
    </xf>
    <xf numFmtId="3" fontId="13" fillId="6" borderId="146" xfId="0" applyNumberFormat="1" applyFont="1" applyFill="1" applyBorder="1" applyAlignment="1">
      <alignment horizontal="center" vertical="center"/>
    </xf>
    <xf numFmtId="3" fontId="13" fillId="28" borderId="146" xfId="0" applyNumberFormat="1" applyFont="1" applyFill="1" applyBorder="1" applyAlignment="1">
      <alignment horizontal="center" vertical="center"/>
    </xf>
    <xf numFmtId="3" fontId="13" fillId="22" borderId="146" xfId="0" applyNumberFormat="1" applyFont="1" applyFill="1" applyBorder="1" applyAlignment="1">
      <alignment horizontal="center" vertical="center"/>
    </xf>
    <xf numFmtId="3" fontId="13" fillId="5" borderId="146" xfId="0" applyNumberFormat="1" applyFont="1" applyFill="1" applyBorder="1" applyAlignment="1">
      <alignment horizontal="center" vertical="center"/>
    </xf>
    <xf numFmtId="3" fontId="13" fillId="29" borderId="146" xfId="0" applyNumberFormat="1" applyFont="1" applyFill="1" applyBorder="1" applyAlignment="1">
      <alignment horizontal="center" vertical="center"/>
    </xf>
    <xf numFmtId="3" fontId="13" fillId="6" borderId="145" xfId="0" applyNumberFormat="1" applyFont="1" applyFill="1" applyBorder="1" applyAlignment="1">
      <alignment horizontal="center" vertical="center"/>
    </xf>
    <xf numFmtId="3" fontId="13" fillId="28" borderId="145" xfId="0" applyNumberFormat="1" applyFont="1" applyFill="1" applyBorder="1" applyAlignment="1">
      <alignment horizontal="center" vertical="center"/>
    </xf>
    <xf numFmtId="3" fontId="13" fillId="22" borderId="145" xfId="0" applyNumberFormat="1" applyFont="1" applyFill="1" applyBorder="1" applyAlignment="1">
      <alignment horizontal="center" vertical="center"/>
    </xf>
    <xf numFmtId="3" fontId="13" fillId="5" borderId="145" xfId="0" applyNumberFormat="1" applyFont="1" applyFill="1" applyBorder="1" applyAlignment="1">
      <alignment horizontal="center" vertical="center"/>
    </xf>
    <xf numFmtId="3" fontId="13" fillId="29" borderId="145" xfId="0" applyNumberFormat="1" applyFont="1" applyFill="1" applyBorder="1" applyAlignment="1">
      <alignment horizontal="center" vertical="center"/>
    </xf>
    <xf numFmtId="3" fontId="0" fillId="3" borderId="145" xfId="0" applyNumberFormat="1" applyFill="1" applyBorder="1" applyAlignment="1">
      <alignment horizontal="center" vertical="center"/>
    </xf>
    <xf numFmtId="3" fontId="0" fillId="24" borderId="150" xfId="0" applyNumberFormat="1" applyFill="1" applyBorder="1" applyAlignment="1">
      <alignment horizontal="center" vertical="center"/>
    </xf>
    <xf numFmtId="0" fontId="0" fillId="0" borderId="146" xfId="0" applyFont="1" applyBorder="1"/>
    <xf numFmtId="0" fontId="25" fillId="23" borderId="146" xfId="0" applyFont="1" applyFill="1" applyBorder="1" applyAlignment="1">
      <alignment wrapText="1"/>
    </xf>
    <xf numFmtId="3" fontId="9" fillId="23" borderId="146" xfId="2" applyNumberFormat="1" applyFont="1" applyFill="1" applyBorder="1" applyAlignment="1">
      <alignment wrapText="1"/>
    </xf>
    <xf numFmtId="0" fontId="6" fillId="29" borderId="146" xfId="0" applyFont="1" applyFill="1" applyBorder="1" applyAlignment="1">
      <alignment horizontal="center" vertical="center"/>
    </xf>
    <xf numFmtId="0" fontId="9" fillId="29" borderId="146" xfId="2" applyFont="1" applyFill="1" applyBorder="1" applyAlignment="1">
      <alignment horizontal="center" vertical="center" wrapText="1"/>
    </xf>
    <xf numFmtId="0" fontId="6" fillId="29" borderId="146" xfId="0" applyFont="1" applyFill="1" applyBorder="1" applyAlignment="1">
      <alignment horizontal="center" vertical="center" wrapText="1"/>
    </xf>
    <xf numFmtId="0" fontId="0" fillId="29" borderId="146" xfId="0" applyFont="1" applyFill="1" applyBorder="1"/>
    <xf numFmtId="3" fontId="10" fillId="24" borderId="146" xfId="2" applyNumberFormat="1" applyFont="1" applyFill="1" applyBorder="1"/>
    <xf numFmtId="3" fontId="0" fillId="0" borderId="146" xfId="0" applyNumberFormat="1" applyFont="1" applyFill="1" applyBorder="1"/>
    <xf numFmtId="3" fontId="0" fillId="24" borderId="146" xfId="0" applyNumberFormat="1" applyFont="1" applyFill="1" applyBorder="1"/>
    <xf numFmtId="3" fontId="0" fillId="86" borderId="146" xfId="0" applyNumberFormat="1" applyFont="1" applyFill="1" applyBorder="1" applyAlignment="1">
      <alignment horizontal="center" vertical="center"/>
    </xf>
    <xf numFmtId="3" fontId="10" fillId="0" borderId="146" xfId="2" applyNumberFormat="1" applyFont="1" applyBorder="1"/>
    <xf numFmtId="3" fontId="0" fillId="0" borderId="146" xfId="0" applyNumberFormat="1" applyFont="1" applyBorder="1"/>
    <xf numFmtId="0" fontId="10" fillId="24" borderId="146" xfId="2" applyFont="1" applyFill="1" applyBorder="1"/>
    <xf numFmtId="0" fontId="10" fillId="0" borderId="146" xfId="2" applyFont="1" applyFill="1" applyBorder="1"/>
    <xf numFmtId="0" fontId="0" fillId="0" borderId="146" xfId="0" applyFont="1" applyFill="1" applyBorder="1"/>
    <xf numFmtId="0" fontId="0" fillId="24" borderId="146" xfId="0" applyFont="1" applyFill="1" applyBorder="1"/>
    <xf numFmtId="0" fontId="10" fillId="23" borderId="146" xfId="2" applyFont="1" applyFill="1" applyBorder="1"/>
    <xf numFmtId="3" fontId="0" fillId="0" borderId="146" xfId="0" applyNumberFormat="1" applyBorder="1"/>
    <xf numFmtId="0" fontId="42" fillId="0" borderId="0" xfId="0" applyFont="1"/>
    <xf numFmtId="0" fontId="8" fillId="0" borderId="0" xfId="8" applyFill="1" applyBorder="1" applyAlignment="1">
      <alignment horizontal="center" vertical="center" wrapText="1"/>
    </xf>
    <xf numFmtId="0" fontId="23" fillId="25" borderId="30" xfId="0" applyFont="1" applyFill="1" applyBorder="1" applyAlignment="1">
      <alignment horizontal="left" vertical="center" wrapText="1"/>
    </xf>
    <xf numFmtId="0" fontId="23" fillId="25" borderId="2" xfId="0" applyFont="1" applyFill="1" applyBorder="1" applyAlignment="1">
      <alignment horizontal="left" vertical="center" wrapText="1"/>
    </xf>
    <xf numFmtId="0" fontId="23" fillId="25" borderId="31" xfId="0" applyFont="1" applyFill="1" applyBorder="1" applyAlignment="1">
      <alignment horizontal="left" vertical="center" wrapText="1"/>
    </xf>
    <xf numFmtId="0" fontId="6" fillId="0" borderId="7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23" fillId="25" borderId="100" xfId="0" applyFont="1" applyFill="1" applyBorder="1" applyAlignment="1">
      <alignment horizontal="left" vertical="center"/>
    </xf>
    <xf numFmtId="0" fontId="23" fillId="25" borderId="17" xfId="0" applyFont="1" applyFill="1" applyBorder="1" applyAlignment="1">
      <alignment horizontal="left" vertical="center"/>
    </xf>
    <xf numFmtId="0" fontId="6" fillId="0" borderId="74"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83" xfId="0" applyFont="1" applyBorder="1" applyAlignment="1">
      <alignment horizontal="center" vertical="center" wrapText="1"/>
    </xf>
    <xf numFmtId="0" fontId="6" fillId="0" borderId="100" xfId="0" applyFont="1" applyBorder="1" applyAlignment="1">
      <alignment horizontal="right" wrapText="1"/>
    </xf>
    <xf numFmtId="0" fontId="6" fillId="0" borderId="101" xfId="0" applyFont="1" applyBorder="1" applyAlignment="1">
      <alignment horizontal="right" wrapText="1"/>
    </xf>
    <xf numFmtId="0" fontId="0" fillId="0" borderId="30" xfId="0" applyFont="1" applyBorder="1" applyAlignment="1">
      <alignment horizontal="left" vertical="top" wrapText="1"/>
    </xf>
    <xf numFmtId="0" fontId="0" fillId="0" borderId="2" xfId="0" applyFont="1" applyBorder="1" applyAlignment="1">
      <alignment horizontal="left" vertical="top" wrapText="1"/>
    </xf>
    <xf numFmtId="0" fontId="0" fillId="0" borderId="31" xfId="0" applyFont="1" applyBorder="1" applyAlignment="1">
      <alignment horizontal="left" vertical="top" wrapText="1"/>
    </xf>
    <xf numFmtId="0" fontId="6" fillId="0"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05" xfId="0" applyFont="1" applyBorder="1" applyAlignment="1">
      <alignment horizontal="center" vertical="center" wrapText="1"/>
    </xf>
    <xf numFmtId="3" fontId="0" fillId="27" borderId="3" xfId="0" applyNumberFormat="1" applyFont="1" applyFill="1" applyBorder="1" applyAlignment="1">
      <alignment horizontal="center" vertical="center" wrapText="1" shrinkToFit="1"/>
    </xf>
    <xf numFmtId="0" fontId="0" fillId="27" borderId="87" xfId="0" applyFont="1" applyFill="1" applyBorder="1" applyAlignment="1">
      <alignment horizontal="center" vertical="center" wrapText="1" shrinkToFit="1"/>
    </xf>
    <xf numFmtId="3" fontId="0" fillId="27" borderId="78" xfId="0" applyNumberFormat="1" applyFont="1" applyFill="1" applyBorder="1" applyAlignment="1">
      <alignment horizontal="center" vertical="center" wrapText="1"/>
    </xf>
    <xf numFmtId="0" fontId="0" fillId="27" borderId="87" xfId="0" applyFont="1" applyFill="1" applyBorder="1" applyAlignment="1">
      <alignment horizontal="center" vertical="center" wrapText="1"/>
    </xf>
    <xf numFmtId="9" fontId="0" fillId="0" borderId="22" xfId="0" applyNumberFormat="1" applyFont="1" applyFill="1" applyBorder="1" applyAlignment="1">
      <alignment horizontal="center" vertical="center" wrapText="1"/>
    </xf>
    <xf numFmtId="0" fontId="0" fillId="0" borderId="88" xfId="0" applyFont="1" applyBorder="1" applyAlignment="1">
      <alignment horizontal="center" vertical="center" wrapText="1"/>
    </xf>
    <xf numFmtId="9" fontId="0" fillId="0" borderId="79" xfId="0" applyNumberFormat="1" applyFont="1" applyFill="1" applyBorder="1" applyAlignment="1">
      <alignment horizontal="center" vertical="center" wrapText="1"/>
    </xf>
    <xf numFmtId="0" fontId="0" fillId="0" borderId="30" xfId="0" applyFont="1" applyBorder="1" applyAlignment="1">
      <alignment horizontal="center" vertical="top" wrapText="1"/>
    </xf>
    <xf numFmtId="0" fontId="0" fillId="0" borderId="2" xfId="0" applyFont="1" applyBorder="1" applyAlignment="1">
      <alignment horizontal="center" vertical="top" wrapText="1"/>
    </xf>
    <xf numFmtId="0" fontId="0" fillId="0" borderId="31" xfId="0" applyFont="1" applyBorder="1" applyAlignment="1">
      <alignment horizontal="center" vertical="top" wrapText="1"/>
    </xf>
    <xf numFmtId="0" fontId="21" fillId="25" borderId="154" xfId="2" applyFont="1" applyFill="1" applyBorder="1" applyAlignment="1">
      <alignment horizontal="center" vertical="center" wrapText="1"/>
    </xf>
    <xf numFmtId="0" fontId="0" fillId="0" borderId="119" xfId="0" applyBorder="1" applyAlignment="1">
      <alignment horizontal="center" vertical="center" wrapText="1"/>
    </xf>
    <xf numFmtId="0" fontId="21" fillId="25" borderId="30" xfId="0" applyFont="1" applyFill="1" applyBorder="1" applyAlignment="1">
      <alignment horizontal="right" vertical="center" wrapText="1"/>
    </xf>
    <xf numFmtId="0" fontId="0" fillId="0" borderId="2" xfId="0" applyFont="1" applyBorder="1" applyAlignment="1">
      <alignment horizontal="right" vertical="center" wrapText="1"/>
    </xf>
    <xf numFmtId="0" fontId="6" fillId="0" borderId="1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33" xfId="0" applyBorder="1" applyAlignment="1">
      <alignment horizontal="center" vertical="center" wrapText="1"/>
    </xf>
    <xf numFmtId="0" fontId="0" fillId="0" borderId="27" xfId="0" applyFont="1" applyBorder="1" applyAlignment="1">
      <alignment horizontal="center" vertical="center" wrapText="1"/>
    </xf>
    <xf numFmtId="0" fontId="0" fillId="0" borderId="28" xfId="0" applyBorder="1" applyAlignment="1">
      <alignment wrapText="1"/>
    </xf>
    <xf numFmtId="0" fontId="0" fillId="0" borderId="151" xfId="0" applyFont="1" applyBorder="1" applyAlignment="1">
      <alignment horizontal="center" vertical="center" wrapText="1"/>
    </xf>
    <xf numFmtId="0" fontId="0" fillId="0" borderId="143" xfId="0" applyBorder="1" applyAlignment="1">
      <alignment wrapText="1"/>
    </xf>
    <xf numFmtId="0" fontId="6" fillId="0" borderId="153" xfId="0" applyFont="1" applyBorder="1" applyAlignment="1">
      <alignment horizontal="center" vertical="center" wrapText="1"/>
    </xf>
    <xf numFmtId="0" fontId="6" fillId="0" borderId="16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4" xfId="0" applyFont="1" applyBorder="1" applyAlignment="1">
      <alignment horizontal="center" vertical="center" wrapText="1"/>
    </xf>
    <xf numFmtId="0" fontId="23" fillId="25" borderId="30" xfId="0" applyFont="1" applyFill="1" applyBorder="1" applyAlignment="1">
      <alignment horizontal="center" vertical="center" wrapText="1"/>
    </xf>
    <xf numFmtId="0" fontId="23" fillId="25" borderId="2" xfId="0" applyFont="1" applyFill="1" applyBorder="1" applyAlignment="1">
      <alignment horizontal="center" vertical="center" wrapText="1"/>
    </xf>
    <xf numFmtId="0" fontId="23" fillId="25" borderId="31" xfId="0" applyFont="1" applyFill="1" applyBorder="1" applyAlignment="1">
      <alignment horizontal="center" vertical="center" wrapText="1"/>
    </xf>
    <xf numFmtId="0" fontId="6" fillId="0" borderId="154" xfId="0" applyFont="1" applyBorder="1" applyAlignment="1">
      <alignment horizontal="right" wrapText="1"/>
    </xf>
    <xf numFmtId="0" fontId="6" fillId="0" borderId="135" xfId="0" applyFont="1" applyBorder="1" applyAlignment="1">
      <alignment horizontal="right" wrapText="1"/>
    </xf>
    <xf numFmtId="0" fontId="6" fillId="0" borderId="141" xfId="0" applyFont="1" applyBorder="1" applyAlignment="1">
      <alignment horizontal="right" wrapText="1"/>
    </xf>
    <xf numFmtId="0" fontId="13" fillId="0" borderId="30" xfId="2" applyFont="1" applyBorder="1" applyAlignment="1">
      <alignment horizontal="left" vertical="top" wrapText="1"/>
    </xf>
    <xf numFmtId="0" fontId="5" fillId="0" borderId="2" xfId="0" applyFont="1" applyBorder="1" applyAlignment="1">
      <alignment horizontal="left" vertical="top" wrapText="1"/>
    </xf>
    <xf numFmtId="0" fontId="0" fillId="0" borderId="2" xfId="0" applyBorder="1" applyAlignment="1">
      <alignment horizontal="left" vertical="top"/>
    </xf>
    <xf numFmtId="0" fontId="0" fillId="0" borderId="31" xfId="0" applyBorder="1" applyAlignment="1">
      <alignment horizontal="left" vertical="top"/>
    </xf>
    <xf numFmtId="0" fontId="23" fillId="25" borderId="30" xfId="2" applyFont="1" applyFill="1" applyBorder="1" applyAlignment="1">
      <alignment horizontal="left" vertical="center"/>
    </xf>
    <xf numFmtId="0" fontId="23" fillId="25" borderId="2" xfId="0" applyFont="1" applyFill="1" applyBorder="1" applyAlignment="1">
      <alignment horizontal="left" vertical="center"/>
    </xf>
    <xf numFmtId="0" fontId="23" fillId="25" borderId="31" xfId="0" applyFont="1" applyFill="1" applyBorder="1" applyAlignment="1">
      <alignment horizontal="left" vertical="center"/>
    </xf>
    <xf numFmtId="0" fontId="78" fillId="25" borderId="27" xfId="2" applyFont="1" applyFill="1" applyBorder="1" applyAlignment="1">
      <alignment horizontal="center" vertical="center" wrapText="1"/>
    </xf>
    <xf numFmtId="0" fontId="78" fillId="25" borderId="107" xfId="2" applyFont="1" applyFill="1" applyBorder="1" applyAlignment="1">
      <alignment horizontal="center" vertical="center" wrapText="1"/>
    </xf>
    <xf numFmtId="0" fontId="6" fillId="3" borderId="28" xfId="2" applyFont="1" applyFill="1" applyBorder="1" applyAlignment="1">
      <alignment horizontal="center" vertical="center" wrapText="1"/>
    </xf>
    <xf numFmtId="0" fontId="5" fillId="3" borderId="29" xfId="0" applyFont="1" applyFill="1" applyBorder="1" applyAlignment="1">
      <alignment horizontal="center" vertical="center" wrapText="1"/>
    </xf>
    <xf numFmtId="0" fontId="78" fillId="29" borderId="9" xfId="2" applyFont="1" applyFill="1" applyBorder="1" applyAlignment="1">
      <alignment horizontal="center" vertical="center" wrapText="1"/>
    </xf>
    <xf numFmtId="0" fontId="5" fillId="29" borderId="29" xfId="0" applyFont="1" applyFill="1" applyBorder="1" applyAlignment="1">
      <alignment horizontal="center" vertical="center" wrapText="1"/>
    </xf>
    <xf numFmtId="0" fontId="4" fillId="0" borderId="9" xfId="2" applyFont="1" applyBorder="1" applyAlignment="1">
      <alignment wrapText="1"/>
    </xf>
    <xf numFmtId="0" fontId="0" fillId="0" borderId="7" xfId="0" applyBorder="1" applyAlignment="1">
      <alignment wrapText="1"/>
    </xf>
    <xf numFmtId="0" fontId="25" fillId="0" borderId="147" xfId="2" applyFont="1" applyBorder="1" applyAlignment="1">
      <alignment horizontal="right" wrapText="1"/>
    </xf>
    <xf numFmtId="0" fontId="6" fillId="0" borderId="146" xfId="0" applyFont="1" applyBorder="1" applyAlignment="1">
      <alignment horizontal="right" wrapText="1"/>
    </xf>
    <xf numFmtId="0" fontId="13" fillId="0" borderId="147" xfId="2" applyFont="1" applyBorder="1" applyAlignment="1">
      <alignment horizontal="right" wrapText="1"/>
    </xf>
    <xf numFmtId="0" fontId="5" fillId="0" borderId="146" xfId="0" applyFont="1" applyBorder="1" applyAlignment="1">
      <alignment horizontal="right" wrapText="1"/>
    </xf>
    <xf numFmtId="0" fontId="0" fillId="0" borderId="146" xfId="0" applyFont="1" applyBorder="1" applyAlignment="1">
      <alignment horizontal="right" wrapText="1"/>
    </xf>
    <xf numFmtId="0" fontId="25" fillId="0" borderId="149" xfId="2" applyFont="1" applyBorder="1" applyAlignment="1">
      <alignment horizontal="right" wrapText="1"/>
    </xf>
    <xf numFmtId="0" fontId="6" fillId="0" borderId="145" xfId="0" applyFont="1" applyBorder="1" applyAlignment="1">
      <alignment horizontal="right" wrapText="1"/>
    </xf>
    <xf numFmtId="0" fontId="13" fillId="0" borderId="30" xfId="2" applyFont="1" applyBorder="1" applyAlignment="1">
      <alignment horizontal="center" vertical="top" wrapText="1"/>
    </xf>
    <xf numFmtId="0" fontId="13" fillId="0" borderId="2" xfId="2" applyFont="1" applyBorder="1" applyAlignment="1">
      <alignment horizontal="center" vertical="top" wrapText="1"/>
    </xf>
    <xf numFmtId="0" fontId="13" fillId="0" borderId="31" xfId="2" applyFont="1" applyBorder="1" applyAlignment="1">
      <alignment horizontal="center" vertical="top" wrapText="1"/>
    </xf>
    <xf numFmtId="0" fontId="0" fillId="0" borderId="107" xfId="0" applyFont="1" applyBorder="1" applyAlignment="1">
      <alignment horizontal="center" vertical="center" wrapText="1"/>
    </xf>
    <xf numFmtId="0" fontId="0" fillId="0" borderId="102" xfId="0" applyBorder="1" applyAlignment="1"/>
    <xf numFmtId="0" fontId="21" fillId="29" borderId="29" xfId="2" applyFont="1" applyFill="1" applyBorder="1" applyAlignment="1">
      <alignment horizontal="center" vertical="center"/>
    </xf>
    <xf numFmtId="0" fontId="21" fillId="29" borderId="33" xfId="2" applyFont="1" applyFill="1" applyBorder="1" applyAlignment="1">
      <alignment horizontal="center" vertical="center"/>
    </xf>
    <xf numFmtId="0" fontId="0"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2" fillId="29" borderId="29" xfId="0" applyFont="1" applyFill="1" applyBorder="1" applyAlignment="1">
      <alignment horizontal="center" vertical="center" wrapText="1"/>
    </xf>
    <xf numFmtId="0" fontId="22" fillId="29" borderId="28" xfId="0" applyFont="1" applyFill="1" applyBorder="1" applyAlignment="1">
      <alignment horizontal="center" vertical="center" wrapText="1"/>
    </xf>
    <xf numFmtId="0" fontId="5" fillId="0" borderId="154" xfId="0" applyFont="1" applyFill="1" applyBorder="1" applyAlignment="1">
      <alignment horizontal="center" vertical="center" wrapText="1"/>
    </xf>
    <xf numFmtId="0" fontId="5" fillId="0" borderId="151" xfId="0" applyFont="1" applyFill="1" applyBorder="1" applyAlignment="1">
      <alignment horizontal="center" vertical="center" wrapText="1"/>
    </xf>
    <xf numFmtId="0" fontId="5" fillId="0" borderId="153" xfId="0" applyFont="1" applyFill="1" applyBorder="1" applyAlignment="1">
      <alignment horizontal="center" vertical="center" wrapText="1"/>
    </xf>
    <xf numFmtId="0" fontId="0" fillId="0" borderId="103" xfId="0" applyFont="1" applyBorder="1" applyAlignment="1">
      <alignment horizontal="center" vertical="center" wrapText="1"/>
    </xf>
    <xf numFmtId="0" fontId="0" fillId="0" borderId="108" xfId="0" applyBorder="1" applyAlignment="1"/>
    <xf numFmtId="0" fontId="6" fillId="0" borderId="9"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26" fillId="71" borderId="30" xfId="0" applyFont="1" applyFill="1" applyBorder="1" applyAlignment="1">
      <alignment horizontal="center" vertical="center" wrapText="1"/>
    </xf>
    <xf numFmtId="0" fontId="26" fillId="71" borderId="2" xfId="0" applyFont="1" applyFill="1" applyBorder="1" applyAlignment="1">
      <alignment horizontal="center" vertical="center" wrapText="1"/>
    </xf>
    <xf numFmtId="0" fontId="0" fillId="71" borderId="2" xfId="0" applyFont="1" applyFill="1" applyBorder="1" applyAlignment="1">
      <alignment wrapText="1"/>
    </xf>
    <xf numFmtId="0" fontId="26" fillId="5" borderId="3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0" fillId="5" borderId="31" xfId="0" applyFont="1" applyFill="1" applyBorder="1" applyAlignment="1">
      <alignment wrapText="1"/>
    </xf>
    <xf numFmtId="0" fontId="0" fillId="71" borderId="2" xfId="0" applyFont="1" applyFill="1" applyBorder="1" applyAlignment="1">
      <alignment horizontal="center" vertical="center" wrapText="1"/>
    </xf>
    <xf numFmtId="0" fontId="0" fillId="71" borderId="31" xfId="0" applyFont="1" applyFill="1" applyBorder="1" applyAlignment="1">
      <alignment horizontal="center" vertical="center" wrapText="1"/>
    </xf>
    <xf numFmtId="0" fontId="0" fillId="0" borderId="2" xfId="0" applyBorder="1" applyAlignment="1">
      <alignment horizontal="center" vertical="center" wrapText="1"/>
    </xf>
    <xf numFmtId="0" fontId="21" fillId="85" borderId="129" xfId="2" applyFont="1" applyFill="1" applyBorder="1" applyAlignment="1">
      <alignment horizontal="center" vertical="center"/>
    </xf>
    <xf numFmtId="0" fontId="21" fillId="85" borderId="30" xfId="2" applyFont="1" applyFill="1" applyBorder="1" applyAlignment="1">
      <alignment horizontal="center" vertical="center"/>
    </xf>
    <xf numFmtId="0" fontId="21" fillId="85" borderId="129" xfId="2" applyFont="1" applyFill="1" applyBorder="1" applyAlignment="1">
      <alignment horizontal="center" vertical="center" wrapText="1"/>
    </xf>
    <xf numFmtId="0" fontId="23" fillId="82" borderId="30" xfId="0" applyFont="1" applyFill="1" applyBorder="1" applyAlignment="1">
      <alignment horizontal="center" vertical="center" wrapText="1"/>
    </xf>
    <xf numFmtId="0" fontId="23" fillId="82" borderId="2" xfId="0" applyFont="1" applyFill="1" applyBorder="1" applyAlignment="1">
      <alignment horizontal="center" vertical="center" wrapText="1"/>
    </xf>
    <xf numFmtId="0" fontId="23" fillId="82" borderId="31" xfId="0" applyFont="1" applyFill="1" applyBorder="1" applyAlignment="1">
      <alignment horizontal="center" vertical="center" wrapText="1"/>
    </xf>
    <xf numFmtId="0" fontId="23" fillId="25" borderId="154" xfId="0" applyFont="1" applyFill="1" applyBorder="1" applyAlignment="1">
      <alignment horizontal="center" vertical="center" wrapText="1"/>
    </xf>
    <xf numFmtId="0" fontId="23" fillId="25" borderId="135" xfId="0" applyFont="1" applyFill="1" applyBorder="1" applyAlignment="1">
      <alignment horizontal="center" vertical="center" wrapText="1"/>
    </xf>
    <xf numFmtId="0" fontId="23" fillId="25" borderId="141" xfId="0" applyFont="1" applyFill="1" applyBorder="1" applyAlignment="1">
      <alignment horizontal="center" vertical="center" wrapText="1"/>
    </xf>
    <xf numFmtId="0" fontId="21" fillId="83" borderId="129" xfId="2" applyFont="1" applyFill="1" applyBorder="1" applyAlignment="1">
      <alignment horizontal="center" vertical="center"/>
    </xf>
    <xf numFmtId="0" fontId="21" fillId="83" borderId="129" xfId="2" applyFont="1" applyFill="1" applyBorder="1" applyAlignment="1">
      <alignment horizontal="center" vertical="center" wrapText="1"/>
    </xf>
    <xf numFmtId="0" fontId="21" fillId="83" borderId="30" xfId="2" applyFont="1" applyFill="1" applyBorder="1" applyAlignment="1">
      <alignment horizontal="center" vertical="center"/>
    </xf>
    <xf numFmtId="0" fontId="25" fillId="84" borderId="30" xfId="0" applyFont="1" applyFill="1" applyBorder="1" applyAlignment="1">
      <alignment horizontal="center" vertical="center" wrapText="1"/>
    </xf>
    <xf numFmtId="0" fontId="25" fillId="84" borderId="2" xfId="0" applyFont="1" applyFill="1" applyBorder="1" applyAlignment="1">
      <alignment horizontal="center" vertical="center" wrapText="1"/>
    </xf>
    <xf numFmtId="0" fontId="25" fillId="84" borderId="31" xfId="0" applyFont="1" applyFill="1" applyBorder="1" applyAlignment="1">
      <alignment horizontal="center" vertical="center" wrapText="1"/>
    </xf>
    <xf numFmtId="0" fontId="23" fillId="25" borderId="30" xfId="2" applyFont="1" applyFill="1" applyBorder="1" applyAlignment="1">
      <alignment horizontal="center" vertical="center" wrapText="1"/>
    </xf>
    <xf numFmtId="0" fontId="23" fillId="25" borderId="2" xfId="2" applyFont="1" applyFill="1" applyBorder="1" applyAlignment="1">
      <alignment horizontal="center" vertical="center" wrapText="1"/>
    </xf>
    <xf numFmtId="0" fontId="23" fillId="25" borderId="31" xfId="2" applyFont="1" applyFill="1" applyBorder="1" applyAlignment="1">
      <alignment horizontal="center" vertical="center" wrapText="1"/>
    </xf>
    <xf numFmtId="0" fontId="26" fillId="71" borderId="31" xfId="0" applyFont="1" applyFill="1" applyBorder="1" applyAlignment="1">
      <alignment horizontal="center" vertical="center" wrapText="1"/>
    </xf>
    <xf numFmtId="0" fontId="77" fillId="72" borderId="30" xfId="0" applyFont="1" applyFill="1"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vertical="top" wrapText="1"/>
    </xf>
    <xf numFmtId="0" fontId="0" fillId="0" borderId="2" xfId="0" applyBorder="1" applyAlignment="1">
      <alignment vertical="top" wrapText="1"/>
    </xf>
    <xf numFmtId="0" fontId="0" fillId="0" borderId="31" xfId="0" applyBorder="1" applyAlignment="1">
      <alignment vertical="top" wrapText="1"/>
    </xf>
    <xf numFmtId="0" fontId="75" fillId="0" borderId="26" xfId="0" applyFont="1" applyFill="1" applyBorder="1" applyAlignment="1">
      <alignment vertical="top" wrapText="1"/>
    </xf>
    <xf numFmtId="0" fontId="75" fillId="0" borderId="25" xfId="0" applyFont="1" applyFill="1" applyBorder="1" applyAlignment="1">
      <alignment vertical="top" wrapText="1"/>
    </xf>
    <xf numFmtId="0" fontId="0" fillId="0" borderId="2" xfId="0" applyBorder="1" applyAlignment="1">
      <alignment horizontal="left" vertical="center" wrapText="1"/>
    </xf>
    <xf numFmtId="0" fontId="0" fillId="0" borderId="2" xfId="0" applyBorder="1" applyAlignment="1">
      <alignment wrapText="1"/>
    </xf>
    <xf numFmtId="0" fontId="0" fillId="0" borderId="31" xfId="0" applyBorder="1" applyAlignment="1">
      <alignment wrapText="1"/>
    </xf>
    <xf numFmtId="0" fontId="75" fillId="0" borderId="23" xfId="0" applyNumberFormat="1" applyFont="1" applyFill="1" applyBorder="1" applyAlignment="1">
      <alignment vertical="top" wrapText="1"/>
    </xf>
    <xf numFmtId="0" fontId="75" fillId="0" borderId="95" xfId="0" applyFont="1" applyFill="1" applyBorder="1" applyAlignment="1">
      <alignment wrapText="1"/>
    </xf>
    <xf numFmtId="0" fontId="0" fillId="0" borderId="16"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39" xfId="0" applyFill="1" applyBorder="1" applyAlignment="1">
      <alignment horizontal="center" vertical="center" wrapText="1"/>
    </xf>
    <xf numFmtId="0" fontId="0" fillId="0" borderId="116" xfId="0" applyFill="1" applyBorder="1" applyAlignment="1">
      <alignment horizontal="center" vertical="center" wrapText="1"/>
    </xf>
    <xf numFmtId="0" fontId="77" fillId="72" borderId="30" xfId="0" applyFont="1" applyFill="1" applyBorder="1" applyAlignment="1">
      <alignment horizontal="center" vertical="center" wrapText="1"/>
    </xf>
    <xf numFmtId="0" fontId="77" fillId="72" borderId="2" xfId="0" applyFont="1" applyFill="1" applyBorder="1" applyAlignment="1">
      <alignment horizontal="center" vertical="center" wrapText="1"/>
    </xf>
    <xf numFmtId="0" fontId="77" fillId="72" borderId="3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74"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109" xfId="0" applyFont="1" applyFill="1" applyBorder="1" applyAlignment="1">
      <alignment horizontal="right" vertical="center" wrapText="1"/>
    </xf>
    <xf numFmtId="0" fontId="0" fillId="0" borderId="110" xfId="0" applyFont="1" applyFill="1" applyBorder="1" applyAlignment="1">
      <alignment horizontal="right" vertical="center" wrapText="1"/>
    </xf>
    <xf numFmtId="0" fontId="23" fillId="25" borderId="30" xfId="1" applyFont="1" applyFill="1" applyBorder="1" applyAlignment="1">
      <alignment horizontal="left" vertical="center"/>
    </xf>
    <xf numFmtId="0" fontId="86" fillId="0" borderId="26" xfId="9" applyFont="1" applyBorder="1" applyAlignment="1">
      <alignment horizontal="left" vertical="top" wrapText="1"/>
    </xf>
    <xf numFmtId="0" fontId="75" fillId="0" borderId="34" xfId="0" applyFont="1" applyBorder="1" applyAlignment="1">
      <alignment horizontal="left" vertical="top" wrapText="1"/>
    </xf>
    <xf numFmtId="0" fontId="75" fillId="0" borderId="32" xfId="0" applyFont="1" applyBorder="1" applyAlignment="1">
      <alignment horizontal="left" vertical="top" wrapText="1"/>
    </xf>
    <xf numFmtId="0" fontId="75" fillId="0" borderId="92" xfId="0" applyNumberFormat="1" applyFont="1" applyFill="1" applyBorder="1" applyAlignment="1">
      <alignment vertical="center" wrapText="1"/>
    </xf>
    <xf numFmtId="0" fontId="75" fillId="0" borderId="93"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2" xfId="0" applyFont="1" applyFill="1" applyBorder="1" applyAlignment="1">
      <alignment horizontal="right" vertical="center" wrapText="1"/>
    </xf>
    <xf numFmtId="0" fontId="6" fillId="26" borderId="9" xfId="0" applyFont="1" applyFill="1" applyBorder="1" applyAlignment="1">
      <alignment horizontal="center" vertical="center" wrapText="1"/>
    </xf>
    <xf numFmtId="0" fontId="0" fillId="26" borderId="10" xfId="0" applyFont="1" applyFill="1" applyBorder="1" applyAlignment="1">
      <alignment horizontal="center" vertical="center" wrapText="1"/>
    </xf>
    <xf numFmtId="0" fontId="6" fillId="71" borderId="9" xfId="0" applyFont="1" applyFill="1" applyBorder="1" applyAlignment="1">
      <alignment horizontal="center" vertical="center" wrapText="1"/>
    </xf>
    <xf numFmtId="0" fontId="0" fillId="71" borderId="10" xfId="0" applyFont="1" applyFill="1" applyBorder="1" applyAlignment="1">
      <alignment wrapText="1"/>
    </xf>
    <xf numFmtId="0" fontId="6" fillId="4" borderId="28" xfId="0" applyFont="1" applyFill="1" applyBorder="1" applyAlignment="1">
      <alignment horizontal="center" vertical="center" wrapText="1"/>
    </xf>
    <xf numFmtId="0" fontId="0" fillId="4" borderId="10" xfId="0" applyFont="1" applyFill="1" applyBorder="1" applyAlignment="1">
      <alignment wrapText="1"/>
    </xf>
    <xf numFmtId="0" fontId="6" fillId="0" borderId="89" xfId="0" applyFont="1" applyFill="1" applyBorder="1" applyAlignment="1">
      <alignment horizontal="center" vertical="center" wrapText="1"/>
    </xf>
    <xf numFmtId="0" fontId="0" fillId="0" borderId="91" xfId="0" applyFont="1" applyBorder="1" applyAlignment="1">
      <alignment horizontal="center" vertical="center" wrapText="1"/>
    </xf>
    <xf numFmtId="0" fontId="6" fillId="71" borderId="89" xfId="0" applyFont="1" applyFill="1" applyBorder="1" applyAlignment="1">
      <alignment horizontal="center" vertical="center" wrapText="1"/>
    </xf>
    <xf numFmtId="0" fontId="0" fillId="71" borderId="91" xfId="0" applyFont="1" applyFill="1" applyBorder="1" applyAlignment="1">
      <alignment horizontal="center" vertical="center" wrapText="1"/>
    </xf>
    <xf numFmtId="0" fontId="6" fillId="4" borderId="102" xfId="0" applyFont="1" applyFill="1" applyBorder="1" applyAlignment="1">
      <alignment horizontal="center" vertical="center" wrapText="1"/>
    </xf>
    <xf numFmtId="0" fontId="0" fillId="4" borderId="91" xfId="0" applyFont="1" applyFill="1" applyBorder="1" applyAlignment="1">
      <alignment wrapText="1"/>
    </xf>
    <xf numFmtId="0" fontId="75" fillId="0" borderId="103" xfId="0" applyNumberFormat="1" applyFont="1" applyFill="1" applyBorder="1" applyAlignment="1">
      <alignment horizontal="left" vertical="top" wrapText="1"/>
    </xf>
    <xf numFmtId="0" fontId="0" fillId="0" borderId="104" xfId="0" applyFill="1" applyBorder="1" applyAlignment="1">
      <alignment horizontal="left" vertical="top" wrapText="1"/>
    </xf>
    <xf numFmtId="0" fontId="0" fillId="0" borderId="72" xfId="0" applyFont="1" applyBorder="1" applyAlignment="1">
      <alignment horizontal="right" vertical="center" wrapText="1"/>
    </xf>
    <xf numFmtId="0" fontId="0" fillId="0" borderId="110" xfId="0" applyFont="1" applyBorder="1" applyAlignment="1">
      <alignment horizontal="right" vertical="center" wrapText="1"/>
    </xf>
    <xf numFmtId="0" fontId="2" fillId="0" borderId="107" xfId="1" applyFont="1" applyBorder="1" applyAlignment="1">
      <alignment horizontal="center"/>
    </xf>
    <xf numFmtId="0" fontId="2" fillId="0" borderId="112" xfId="1" applyFont="1" applyBorder="1" applyAlignment="1">
      <alignment horizontal="center"/>
    </xf>
    <xf numFmtId="0" fontId="90" fillId="25" borderId="27" xfId="1" applyFont="1" applyFill="1" applyBorder="1" applyAlignment="1">
      <alignment horizontal="center" vertical="center"/>
    </xf>
    <xf numFmtId="0" fontId="90" fillId="25" borderId="36" xfId="1" applyFont="1" applyFill="1" applyBorder="1" applyAlignment="1">
      <alignment horizontal="center" vertical="center"/>
    </xf>
    <xf numFmtId="0" fontId="90" fillId="25" borderId="33" xfId="1" applyFont="1" applyFill="1" applyBorder="1" applyAlignment="1">
      <alignment horizontal="center" vertical="center"/>
    </xf>
    <xf numFmtId="0" fontId="23" fillId="25" borderId="30" xfId="1" applyFont="1" applyFill="1" applyBorder="1" applyAlignment="1">
      <alignment horizontal="center" vertical="center"/>
    </xf>
    <xf numFmtId="0" fontId="23" fillId="25" borderId="2" xfId="1" applyFont="1" applyFill="1" applyBorder="1" applyAlignment="1">
      <alignment horizontal="center" vertical="center"/>
    </xf>
    <xf numFmtId="0" fontId="23" fillId="25" borderId="31" xfId="1" applyFont="1" applyFill="1" applyBorder="1" applyAlignment="1">
      <alignment horizontal="center" vertical="center"/>
    </xf>
    <xf numFmtId="0" fontId="20" fillId="0" borderId="132" xfId="78" applyFill="1" applyBorder="1" applyAlignment="1">
      <alignment horizontal="center" vertical="center" wrapText="1"/>
    </xf>
    <xf numFmtId="0" fontId="20" fillId="0" borderId="168" xfId="78" applyFill="1" applyBorder="1" applyAlignment="1">
      <alignment horizontal="center" vertical="center" wrapText="1"/>
    </xf>
    <xf numFmtId="0" fontId="20" fillId="0" borderId="169" xfId="78" applyFill="1" applyBorder="1" applyAlignment="1">
      <alignment horizontal="center" vertical="center" wrapText="1"/>
    </xf>
    <xf numFmtId="0" fontId="13" fillId="0" borderId="26" xfId="1" applyFont="1" applyBorder="1" applyAlignment="1"/>
    <xf numFmtId="0" fontId="0" fillId="0" borderId="34" xfId="0" applyBorder="1" applyAlignment="1"/>
    <xf numFmtId="0" fontId="0" fillId="0" borderId="25" xfId="0" applyBorder="1" applyAlignment="1"/>
    <xf numFmtId="0" fontId="0" fillId="0" borderId="2" xfId="0" applyBorder="1" applyAlignment="1"/>
    <xf numFmtId="0" fontId="0" fillId="0" borderId="31" xfId="0" applyBorder="1" applyAlignment="1"/>
    <xf numFmtId="0" fontId="13" fillId="0" borderId="30" xfId="1" applyFont="1" applyBorder="1" applyAlignment="1">
      <alignment horizontal="left" vertical="top"/>
    </xf>
    <xf numFmtId="0" fontId="0" fillId="0" borderId="130" xfId="0" applyBorder="1" applyAlignment="1">
      <alignment horizontal="left" vertical="top"/>
    </xf>
    <xf numFmtId="0" fontId="13" fillId="0" borderId="103" xfId="1" applyFont="1" applyBorder="1" applyAlignment="1">
      <alignment horizontal="left" vertical="center"/>
    </xf>
    <xf numFmtId="0" fontId="0" fillId="0" borderId="111" xfId="0" applyBorder="1" applyAlignment="1">
      <alignment horizontal="left" vertical="center"/>
    </xf>
    <xf numFmtId="0" fontId="0" fillId="0" borderId="108" xfId="0" applyBorder="1" applyAlignment="1">
      <alignment horizontal="left" vertical="center"/>
    </xf>
    <xf numFmtId="0" fontId="23" fillId="25" borderId="27" xfId="1" applyFont="1" applyFill="1" applyBorder="1" applyAlignment="1">
      <alignment horizontal="left" vertical="center" wrapText="1"/>
    </xf>
    <xf numFmtId="0" fontId="24" fillId="25" borderId="36" xfId="0" applyFont="1" applyFill="1" applyBorder="1" applyAlignment="1">
      <alignment horizontal="left" vertical="center" wrapText="1"/>
    </xf>
    <xf numFmtId="0" fontId="0" fillId="0" borderId="33" xfId="0" applyBorder="1" applyAlignment="1">
      <alignment horizontal="left" vertical="center" wrapText="1"/>
    </xf>
    <xf numFmtId="0" fontId="23" fillId="25" borderId="30" xfId="1" applyFont="1" applyFill="1" applyBorder="1" applyAlignment="1">
      <alignment horizontal="left" vertical="center" wrapText="1"/>
    </xf>
    <xf numFmtId="0" fontId="23" fillId="25" borderId="154" xfId="1" applyFont="1" applyFill="1" applyBorder="1" applyAlignment="1">
      <alignment horizontal="center" vertical="center"/>
    </xf>
    <xf numFmtId="0" fontId="23" fillId="25" borderId="135" xfId="1" applyFont="1" applyFill="1" applyBorder="1" applyAlignment="1">
      <alignment horizontal="center" vertical="center"/>
    </xf>
    <xf numFmtId="0" fontId="23" fillId="25" borderId="141" xfId="1" applyFont="1" applyFill="1" applyBorder="1" applyAlignment="1">
      <alignment horizontal="center" vertical="center"/>
    </xf>
    <xf numFmtId="0" fontId="20" fillId="0" borderId="131" xfId="78" applyFill="1" applyBorder="1" applyAlignment="1">
      <alignment horizontal="center" vertical="center" wrapText="1"/>
    </xf>
    <xf numFmtId="0" fontId="20" fillId="0" borderId="2" xfId="78" applyFill="1" applyBorder="1" applyAlignment="1">
      <alignment horizontal="center" vertical="center" wrapText="1"/>
    </xf>
    <xf numFmtId="0" fontId="20" fillId="0" borderId="31" xfId="78" applyFill="1" applyBorder="1" applyAlignment="1">
      <alignment horizontal="center" vertical="center" wrapText="1"/>
    </xf>
    <xf numFmtId="0" fontId="20" fillId="0" borderId="153" xfId="78" applyFill="1" applyBorder="1" applyAlignment="1">
      <alignment horizontal="center" vertical="center" wrapText="1"/>
    </xf>
    <xf numFmtId="0" fontId="80" fillId="76" borderId="30" xfId="0" applyFont="1" applyFill="1" applyBorder="1" applyAlignment="1">
      <alignment horizontal="center" vertical="center" wrapText="1"/>
    </xf>
    <xf numFmtId="0" fontId="80" fillId="76" borderId="2" xfId="0" applyFont="1" applyFill="1" applyBorder="1" applyAlignment="1">
      <alignment horizontal="center" vertical="center" wrapText="1"/>
    </xf>
    <xf numFmtId="0" fontId="80" fillId="76" borderId="31" xfId="0" applyFont="1" applyFill="1" applyBorder="1" applyAlignment="1">
      <alignment horizontal="center" vertical="center" wrapText="1"/>
    </xf>
    <xf numFmtId="0" fontId="0" fillId="0" borderId="30" xfId="0" applyBorder="1" applyAlignment="1">
      <alignment horizontal="left" vertical="top" wrapText="1"/>
    </xf>
    <xf numFmtId="0" fontId="0" fillId="0" borderId="2" xfId="0" applyBorder="1" applyAlignment="1">
      <alignment horizontal="left" vertical="top" wrapText="1"/>
    </xf>
    <xf numFmtId="0" fontId="0" fillId="0" borderId="168" xfId="0" applyBorder="1" applyAlignment="1">
      <alignment wrapText="1"/>
    </xf>
    <xf numFmtId="0" fontId="0" fillId="0" borderId="169" xfId="0" applyBorder="1" applyAlignment="1">
      <alignment wrapText="1"/>
    </xf>
    <xf numFmtId="0" fontId="80" fillId="0" borderId="2" xfId="0" applyFont="1" applyFill="1" applyBorder="1" applyAlignment="1">
      <alignment horizontal="center" vertical="center" wrapText="1"/>
    </xf>
    <xf numFmtId="0" fontId="80" fillId="73" borderId="30" xfId="0" applyFont="1" applyFill="1" applyBorder="1" applyAlignment="1">
      <alignment horizontal="center" vertical="center" wrapText="1"/>
    </xf>
    <xf numFmtId="0" fontId="80" fillId="73" borderId="2" xfId="0" applyFont="1" applyFill="1" applyBorder="1" applyAlignment="1">
      <alignment horizontal="center" vertical="center" wrapText="1"/>
    </xf>
    <xf numFmtId="0" fontId="80" fillId="73" borderId="31" xfId="0" applyFont="1" applyFill="1" applyBorder="1" applyAlignment="1">
      <alignment horizontal="center" vertical="center" wrapText="1"/>
    </xf>
    <xf numFmtId="0" fontId="80" fillId="74" borderId="154" xfId="0" applyFont="1" applyFill="1" applyBorder="1" applyAlignment="1">
      <alignment horizontal="center" vertical="center" wrapText="1"/>
    </xf>
    <xf numFmtId="0" fontId="80" fillId="74" borderId="135" xfId="0" applyFont="1" applyFill="1" applyBorder="1" applyAlignment="1">
      <alignment horizontal="center" vertical="center" wrapText="1"/>
    </xf>
    <xf numFmtId="0" fontId="80" fillId="74" borderId="141" xfId="0" applyFont="1" applyFill="1" applyBorder="1" applyAlignment="1">
      <alignment horizontal="center" vertical="center" wrapText="1"/>
    </xf>
    <xf numFmtId="0" fontId="80" fillId="79" borderId="154" xfId="0" applyFont="1" applyFill="1" applyBorder="1" applyAlignment="1">
      <alignment horizontal="center" vertical="center" wrapText="1"/>
    </xf>
    <xf numFmtId="0" fontId="80" fillId="79" borderId="135" xfId="0" applyFont="1" applyFill="1" applyBorder="1" applyAlignment="1">
      <alignment horizontal="center" vertical="center" wrapText="1"/>
    </xf>
    <xf numFmtId="0" fontId="80" fillId="79" borderId="141" xfId="0" applyFont="1" applyFill="1" applyBorder="1" applyAlignment="1">
      <alignment horizontal="center" vertical="center" wrapText="1"/>
    </xf>
    <xf numFmtId="0" fontId="80" fillId="75" borderId="154" xfId="0" applyFont="1" applyFill="1" applyBorder="1" applyAlignment="1">
      <alignment horizontal="center" vertical="center" wrapText="1"/>
    </xf>
    <xf numFmtId="0" fontId="80" fillId="75" borderId="135" xfId="0" applyFont="1" applyFill="1" applyBorder="1" applyAlignment="1">
      <alignment horizontal="center" vertical="center" wrapText="1"/>
    </xf>
    <xf numFmtId="0" fontId="80" fillId="75" borderId="141"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cellXfs>
  <cellStyles count="2311">
    <cellStyle name="20% - Accent1" xfId="96" builtinId="30" customBuiltin="1"/>
    <cellStyle name="20% - Accent1 2" xfId="15" xr:uid="{00000000-0005-0000-0000-000001000000}"/>
    <cellStyle name="20% - Accent1 2 2" xfId="349" xr:uid="{00000000-0005-0000-0000-000002000000}"/>
    <cellStyle name="20% - Accent1 2 3" xfId="121" xr:uid="{00000000-0005-0000-0000-000003000000}"/>
    <cellStyle name="20% - Accent1 3" xfId="16" xr:uid="{00000000-0005-0000-0000-000004000000}"/>
    <cellStyle name="20% - Accent1 4" xfId="17" xr:uid="{00000000-0005-0000-0000-000005000000}"/>
    <cellStyle name="20% - Accent2" xfId="100" builtinId="34" customBuiltin="1"/>
    <cellStyle name="20% - Accent2 2" xfId="18" xr:uid="{00000000-0005-0000-0000-000007000000}"/>
    <cellStyle name="20% - Accent2 2 2" xfId="347" xr:uid="{00000000-0005-0000-0000-000008000000}"/>
    <cellStyle name="20% - Accent2 2 3" xfId="122" xr:uid="{00000000-0005-0000-0000-000009000000}"/>
    <cellStyle name="20% - Accent2 3" xfId="19" xr:uid="{00000000-0005-0000-0000-00000A000000}"/>
    <cellStyle name="20% - Accent2 4" xfId="20" xr:uid="{00000000-0005-0000-0000-00000B000000}"/>
    <cellStyle name="20% - Accent3" xfId="104" builtinId="38" customBuiltin="1"/>
    <cellStyle name="20% - Accent3 2" xfId="21" xr:uid="{00000000-0005-0000-0000-00000D000000}"/>
    <cellStyle name="20% - Accent3 2 2" xfId="345" xr:uid="{00000000-0005-0000-0000-00000E000000}"/>
    <cellStyle name="20% - Accent3 2 3" xfId="123" xr:uid="{00000000-0005-0000-0000-00000F000000}"/>
    <cellStyle name="20% - Accent3 3" xfId="22" xr:uid="{00000000-0005-0000-0000-000010000000}"/>
    <cellStyle name="20% - Accent3 4" xfId="23" xr:uid="{00000000-0005-0000-0000-000011000000}"/>
    <cellStyle name="20% - Accent4" xfId="108" builtinId="42" customBuiltin="1"/>
    <cellStyle name="20% - Accent4 2" xfId="24" xr:uid="{00000000-0005-0000-0000-000013000000}"/>
    <cellStyle name="20% - Accent4 2 2" xfId="343" xr:uid="{00000000-0005-0000-0000-000014000000}"/>
    <cellStyle name="20% - Accent4 2 3" xfId="124" xr:uid="{00000000-0005-0000-0000-000015000000}"/>
    <cellStyle name="20% - Accent4 3" xfId="25" xr:uid="{00000000-0005-0000-0000-000016000000}"/>
    <cellStyle name="20% - Accent4 4" xfId="26" xr:uid="{00000000-0005-0000-0000-000017000000}"/>
    <cellStyle name="20% - Accent5" xfId="112" builtinId="46" customBuiltin="1"/>
    <cellStyle name="20% - Accent5 2" xfId="27" xr:uid="{00000000-0005-0000-0000-000019000000}"/>
    <cellStyle name="20% - Accent5 2 2" xfId="341" xr:uid="{00000000-0005-0000-0000-00001A000000}"/>
    <cellStyle name="20% - Accent5 2 3" xfId="125" xr:uid="{00000000-0005-0000-0000-00001B000000}"/>
    <cellStyle name="20% - Accent5 3" xfId="28" xr:uid="{00000000-0005-0000-0000-00001C000000}"/>
    <cellStyle name="20% - Accent5 4" xfId="29" xr:uid="{00000000-0005-0000-0000-00001D000000}"/>
    <cellStyle name="20% - Accent6" xfId="116" builtinId="50" customBuiltin="1"/>
    <cellStyle name="20% - Accent6 2" xfId="30" xr:uid="{00000000-0005-0000-0000-00001F000000}"/>
    <cellStyle name="20% - Accent6 2 2" xfId="339" xr:uid="{00000000-0005-0000-0000-000020000000}"/>
    <cellStyle name="20% - Accent6 2 3" xfId="126" xr:uid="{00000000-0005-0000-0000-000021000000}"/>
    <cellStyle name="20% - Accent6 3" xfId="31" xr:uid="{00000000-0005-0000-0000-000022000000}"/>
    <cellStyle name="20% - Accent6 4" xfId="32" xr:uid="{00000000-0005-0000-0000-000023000000}"/>
    <cellStyle name="40% - Accent1" xfId="97" builtinId="31" customBuiltin="1"/>
    <cellStyle name="40% - Accent1 2" xfId="33" xr:uid="{00000000-0005-0000-0000-000025000000}"/>
    <cellStyle name="40% - Accent1 2 2" xfId="348" xr:uid="{00000000-0005-0000-0000-000026000000}"/>
    <cellStyle name="40% - Accent1 2 3" xfId="127" xr:uid="{00000000-0005-0000-0000-000027000000}"/>
    <cellStyle name="40% - Accent1 3" xfId="34" xr:uid="{00000000-0005-0000-0000-000028000000}"/>
    <cellStyle name="40% - Accent1 4" xfId="35" xr:uid="{00000000-0005-0000-0000-000029000000}"/>
    <cellStyle name="40% - Accent2" xfId="101" builtinId="35" customBuiltin="1"/>
    <cellStyle name="40% - Accent2 2" xfId="36" xr:uid="{00000000-0005-0000-0000-00002B000000}"/>
    <cellStyle name="40% - Accent2 2 2" xfId="346" xr:uid="{00000000-0005-0000-0000-00002C000000}"/>
    <cellStyle name="40% - Accent2 2 3" xfId="128" xr:uid="{00000000-0005-0000-0000-00002D000000}"/>
    <cellStyle name="40% - Accent2 3" xfId="37" xr:uid="{00000000-0005-0000-0000-00002E000000}"/>
    <cellStyle name="40% - Accent2 4" xfId="38" xr:uid="{00000000-0005-0000-0000-00002F000000}"/>
    <cellStyle name="40% - Accent3" xfId="105" builtinId="39" customBuiltin="1"/>
    <cellStyle name="40% - Accent3 2" xfId="39" xr:uid="{00000000-0005-0000-0000-000031000000}"/>
    <cellStyle name="40% - Accent3 2 2" xfId="344" xr:uid="{00000000-0005-0000-0000-000032000000}"/>
    <cellStyle name="40% - Accent3 2 3" xfId="129" xr:uid="{00000000-0005-0000-0000-000033000000}"/>
    <cellStyle name="40% - Accent3 3" xfId="40" xr:uid="{00000000-0005-0000-0000-000034000000}"/>
    <cellStyle name="40% - Accent3 4" xfId="41" xr:uid="{00000000-0005-0000-0000-000035000000}"/>
    <cellStyle name="40% - Accent4" xfId="109" builtinId="43" customBuiltin="1"/>
    <cellStyle name="40% - Accent4 2" xfId="42" xr:uid="{00000000-0005-0000-0000-000037000000}"/>
    <cellStyle name="40% - Accent4 2 2" xfId="342" xr:uid="{00000000-0005-0000-0000-000038000000}"/>
    <cellStyle name="40% - Accent4 2 3" xfId="130" xr:uid="{00000000-0005-0000-0000-000039000000}"/>
    <cellStyle name="40% - Accent4 3" xfId="43" xr:uid="{00000000-0005-0000-0000-00003A000000}"/>
    <cellStyle name="40% - Accent4 4" xfId="44" xr:uid="{00000000-0005-0000-0000-00003B000000}"/>
    <cellStyle name="40% - Accent5" xfId="113" builtinId="47" customBuiltin="1"/>
    <cellStyle name="40% - Accent5 2" xfId="45" xr:uid="{00000000-0005-0000-0000-00003D000000}"/>
    <cellStyle name="40% - Accent5 2 2" xfId="340" xr:uid="{00000000-0005-0000-0000-00003E000000}"/>
    <cellStyle name="40% - Accent5 2 3" xfId="131" xr:uid="{00000000-0005-0000-0000-00003F000000}"/>
    <cellStyle name="40% - Accent5 3" xfId="46" xr:uid="{00000000-0005-0000-0000-000040000000}"/>
    <cellStyle name="40% - Accent5 4" xfId="47" xr:uid="{00000000-0005-0000-0000-000041000000}"/>
    <cellStyle name="40% - Accent6" xfId="117" builtinId="51" customBuiltin="1"/>
    <cellStyle name="40% - Accent6 2" xfId="48" xr:uid="{00000000-0005-0000-0000-000043000000}"/>
    <cellStyle name="40% - Accent6 2 2" xfId="338" xr:uid="{00000000-0005-0000-0000-000044000000}"/>
    <cellStyle name="40% - Accent6 2 3" xfId="132" xr:uid="{00000000-0005-0000-0000-000045000000}"/>
    <cellStyle name="40% - Accent6 3" xfId="49" xr:uid="{00000000-0005-0000-0000-000046000000}"/>
    <cellStyle name="40% - Accent6 4" xfId="50" xr:uid="{00000000-0005-0000-0000-000047000000}"/>
    <cellStyle name="60% - Accent1" xfId="98" builtinId="32" customBuiltin="1"/>
    <cellStyle name="60% - Accent1 2" xfId="133" xr:uid="{00000000-0005-0000-0000-000049000000}"/>
    <cellStyle name="60% - Accent2" xfId="102" builtinId="36" customBuiltin="1"/>
    <cellStyle name="60% - Accent2 2" xfId="134" xr:uid="{00000000-0005-0000-0000-00004B000000}"/>
    <cellStyle name="60% - Accent3" xfId="106" builtinId="40" customBuiltin="1"/>
    <cellStyle name="60% - Accent3 2" xfId="135" xr:uid="{00000000-0005-0000-0000-00004D000000}"/>
    <cellStyle name="60% - Accent4" xfId="110" builtinId="44" customBuiltin="1"/>
    <cellStyle name="60% - Accent4 2" xfId="136" xr:uid="{00000000-0005-0000-0000-00004F000000}"/>
    <cellStyle name="60% - Accent5" xfId="114" builtinId="48" customBuiltin="1"/>
    <cellStyle name="60% - Accent5 2" xfId="137" xr:uid="{00000000-0005-0000-0000-000051000000}"/>
    <cellStyle name="60% - Accent6" xfId="118" builtinId="52" customBuiltin="1"/>
    <cellStyle name="60% - Accent6 2" xfId="138" xr:uid="{00000000-0005-0000-0000-000053000000}"/>
    <cellStyle name="Accent1" xfId="95" builtinId="29" customBuiltin="1"/>
    <cellStyle name="Accent1 2" xfId="51" xr:uid="{00000000-0005-0000-0000-000055000000}"/>
    <cellStyle name="Accent1 2 2" xfId="352" xr:uid="{00000000-0005-0000-0000-000056000000}"/>
    <cellStyle name="Accent1 2 3" xfId="139" xr:uid="{00000000-0005-0000-0000-000057000000}"/>
    <cellStyle name="Accent2" xfId="99" builtinId="33" customBuiltin="1"/>
    <cellStyle name="Accent2 2" xfId="140" xr:uid="{00000000-0005-0000-0000-000059000000}"/>
    <cellStyle name="Accent3" xfId="103" builtinId="37" customBuiltin="1"/>
    <cellStyle name="Accent3 2" xfId="141" xr:uid="{00000000-0005-0000-0000-00005B000000}"/>
    <cellStyle name="Accent4" xfId="107" builtinId="41" customBuiltin="1"/>
    <cellStyle name="Accent4 2" xfId="142" xr:uid="{00000000-0005-0000-0000-00005D000000}"/>
    <cellStyle name="Accent5" xfId="111" builtinId="45" customBuiltin="1"/>
    <cellStyle name="Accent5 2" xfId="143" xr:uid="{00000000-0005-0000-0000-00005F000000}"/>
    <cellStyle name="Accent6" xfId="115" builtinId="49" customBuiltin="1"/>
    <cellStyle name="Accent6 2" xfId="144" xr:uid="{00000000-0005-0000-0000-000061000000}"/>
    <cellStyle name="Bad" xfId="85" builtinId="27" customBuiltin="1"/>
    <cellStyle name="Bad 2" xfId="11" xr:uid="{00000000-0005-0000-0000-000063000000}"/>
    <cellStyle name="Bad 2 2" xfId="169" xr:uid="{00000000-0005-0000-0000-000064000000}"/>
    <cellStyle name="Bad 2 3" xfId="145" xr:uid="{00000000-0005-0000-0000-000065000000}"/>
    <cellStyle name="Calculation" xfId="89" builtinId="22" customBuiltin="1"/>
    <cellStyle name="Calculation 2" xfId="146" xr:uid="{00000000-0005-0000-0000-000067000000}"/>
    <cellStyle name="Calculation 2 10" xfId="170" xr:uid="{00000000-0005-0000-0000-000068000000}"/>
    <cellStyle name="Calculation 2 10 2" xfId="171" xr:uid="{00000000-0005-0000-0000-000069000000}"/>
    <cellStyle name="Calculation 2 10 2 2" xfId="457" xr:uid="{00000000-0005-0000-0000-00006A000000}"/>
    <cellStyle name="Calculation 2 10 2 2 2" xfId="615" xr:uid="{00000000-0005-0000-0000-00006B000000}"/>
    <cellStyle name="Calculation 2 10 2 2 2 2" xfId="1321" xr:uid="{00000000-0005-0000-0000-00006C000000}"/>
    <cellStyle name="Calculation 2 10 2 2 2 3" xfId="1781" xr:uid="{00000000-0005-0000-0000-00006D000000}"/>
    <cellStyle name="Calculation 2 10 2 2 2 4" xfId="2168" xr:uid="{00000000-0005-0000-0000-00006E000000}"/>
    <cellStyle name="Calculation 2 10 2 2 3" xfId="1168" xr:uid="{00000000-0005-0000-0000-00006F000000}"/>
    <cellStyle name="Calculation 2 10 2 2 4" xfId="1652" xr:uid="{00000000-0005-0000-0000-000070000000}"/>
    <cellStyle name="Calculation 2 10 2 2 5" xfId="2019" xr:uid="{00000000-0005-0000-0000-000071000000}"/>
    <cellStyle name="Calculation 2 10 2 3" xfId="586" xr:uid="{00000000-0005-0000-0000-000072000000}"/>
    <cellStyle name="Calculation 2 10 2 3 2" xfId="1292" xr:uid="{00000000-0005-0000-0000-000073000000}"/>
    <cellStyle name="Calculation 2 10 2 3 3" xfId="1758" xr:uid="{00000000-0005-0000-0000-000074000000}"/>
    <cellStyle name="Calculation 2 10 2 3 4" xfId="2139" xr:uid="{00000000-0005-0000-0000-000075000000}"/>
    <cellStyle name="Calculation 2 10 2 4" xfId="883" xr:uid="{00000000-0005-0000-0000-000076000000}"/>
    <cellStyle name="Calculation 2 10 2 5" xfId="863" xr:uid="{00000000-0005-0000-0000-000077000000}"/>
    <cellStyle name="Calculation 2 10 2 6" xfId="1676" xr:uid="{00000000-0005-0000-0000-000078000000}"/>
    <cellStyle name="Calculation 2 10 3" xfId="360" xr:uid="{00000000-0005-0000-0000-000079000000}"/>
    <cellStyle name="Calculation 2 10 3 2" xfId="616" xr:uid="{00000000-0005-0000-0000-00007A000000}"/>
    <cellStyle name="Calculation 2 10 3 2 2" xfId="1322" xr:uid="{00000000-0005-0000-0000-00007B000000}"/>
    <cellStyle name="Calculation 2 10 3 2 3" xfId="1782" xr:uid="{00000000-0005-0000-0000-00007C000000}"/>
    <cellStyle name="Calculation 2 10 3 2 4" xfId="2169" xr:uid="{00000000-0005-0000-0000-00007D000000}"/>
    <cellStyle name="Calculation 2 10 3 3" xfId="1071" xr:uid="{00000000-0005-0000-0000-00007E000000}"/>
    <cellStyle name="Calculation 2 10 3 4" xfId="1573" xr:uid="{00000000-0005-0000-0000-00007F000000}"/>
    <cellStyle name="Calculation 2 10 3 5" xfId="1933" xr:uid="{00000000-0005-0000-0000-000080000000}"/>
    <cellStyle name="Calculation 2 10 4" xfId="499" xr:uid="{00000000-0005-0000-0000-000081000000}"/>
    <cellStyle name="Calculation 2 10 4 2" xfId="1206" xr:uid="{00000000-0005-0000-0000-000082000000}"/>
    <cellStyle name="Calculation 2 10 4 3" xfId="1687" xr:uid="{00000000-0005-0000-0000-000083000000}"/>
    <cellStyle name="Calculation 2 10 4 4" xfId="2053" xr:uid="{00000000-0005-0000-0000-000084000000}"/>
    <cellStyle name="Calculation 2 10 5" xfId="882" xr:uid="{00000000-0005-0000-0000-000085000000}"/>
    <cellStyle name="Calculation 2 10 6" xfId="831" xr:uid="{00000000-0005-0000-0000-000086000000}"/>
    <cellStyle name="Calculation 2 10 7" xfId="1566" xr:uid="{00000000-0005-0000-0000-000087000000}"/>
    <cellStyle name="Calculation 2 11" xfId="172" xr:uid="{00000000-0005-0000-0000-000088000000}"/>
    <cellStyle name="Calculation 2 11 2" xfId="173" xr:uid="{00000000-0005-0000-0000-000089000000}"/>
    <cellStyle name="Calculation 2 11 2 2" xfId="478" xr:uid="{00000000-0005-0000-0000-00008A000000}"/>
    <cellStyle name="Calculation 2 11 2 2 2" xfId="617" xr:uid="{00000000-0005-0000-0000-00008B000000}"/>
    <cellStyle name="Calculation 2 11 2 2 2 2" xfId="1323" xr:uid="{00000000-0005-0000-0000-00008C000000}"/>
    <cellStyle name="Calculation 2 11 2 2 2 3" xfId="1783" xr:uid="{00000000-0005-0000-0000-00008D000000}"/>
    <cellStyle name="Calculation 2 11 2 2 2 4" xfId="2170" xr:uid="{00000000-0005-0000-0000-00008E000000}"/>
    <cellStyle name="Calculation 2 11 2 2 3" xfId="1189" xr:uid="{00000000-0005-0000-0000-00008F000000}"/>
    <cellStyle name="Calculation 2 11 2 2 4" xfId="1668" xr:uid="{00000000-0005-0000-0000-000090000000}"/>
    <cellStyle name="Calculation 2 11 2 2 5" xfId="2040" xr:uid="{00000000-0005-0000-0000-000091000000}"/>
    <cellStyle name="Calculation 2 11 2 3" xfId="607" xr:uid="{00000000-0005-0000-0000-000092000000}"/>
    <cellStyle name="Calculation 2 11 2 3 2" xfId="1313" xr:uid="{00000000-0005-0000-0000-000093000000}"/>
    <cellStyle name="Calculation 2 11 2 3 3" xfId="1774" xr:uid="{00000000-0005-0000-0000-000094000000}"/>
    <cellStyle name="Calculation 2 11 2 3 4" xfId="2160" xr:uid="{00000000-0005-0000-0000-000095000000}"/>
    <cellStyle name="Calculation 2 11 2 4" xfId="885" xr:uid="{00000000-0005-0000-0000-000096000000}"/>
    <cellStyle name="Calculation 2 11 2 5" xfId="861" xr:uid="{00000000-0005-0000-0000-000097000000}"/>
    <cellStyle name="Calculation 2 11 2 6" xfId="1564" xr:uid="{00000000-0005-0000-0000-000098000000}"/>
    <cellStyle name="Calculation 2 11 3" xfId="361" xr:uid="{00000000-0005-0000-0000-000099000000}"/>
    <cellStyle name="Calculation 2 11 3 2" xfId="618" xr:uid="{00000000-0005-0000-0000-00009A000000}"/>
    <cellStyle name="Calculation 2 11 3 2 2" xfId="1324" xr:uid="{00000000-0005-0000-0000-00009B000000}"/>
    <cellStyle name="Calculation 2 11 3 2 3" xfId="1784" xr:uid="{00000000-0005-0000-0000-00009C000000}"/>
    <cellStyle name="Calculation 2 11 3 2 4" xfId="2171" xr:uid="{00000000-0005-0000-0000-00009D000000}"/>
    <cellStyle name="Calculation 2 11 3 3" xfId="1072" xr:uid="{00000000-0005-0000-0000-00009E000000}"/>
    <cellStyle name="Calculation 2 11 3 4" xfId="1574" xr:uid="{00000000-0005-0000-0000-00009F000000}"/>
    <cellStyle name="Calculation 2 11 3 5" xfId="1934" xr:uid="{00000000-0005-0000-0000-0000A0000000}"/>
    <cellStyle name="Calculation 2 11 4" xfId="500" xr:uid="{00000000-0005-0000-0000-0000A1000000}"/>
    <cellStyle name="Calculation 2 11 4 2" xfId="1207" xr:uid="{00000000-0005-0000-0000-0000A2000000}"/>
    <cellStyle name="Calculation 2 11 4 3" xfId="1688" xr:uid="{00000000-0005-0000-0000-0000A3000000}"/>
    <cellStyle name="Calculation 2 11 4 4" xfId="2054" xr:uid="{00000000-0005-0000-0000-0000A4000000}"/>
    <cellStyle name="Calculation 2 11 5" xfId="884" xr:uid="{00000000-0005-0000-0000-0000A5000000}"/>
    <cellStyle name="Calculation 2 11 6" xfId="830" xr:uid="{00000000-0005-0000-0000-0000A6000000}"/>
    <cellStyle name="Calculation 2 11 7" xfId="1680" xr:uid="{00000000-0005-0000-0000-0000A7000000}"/>
    <cellStyle name="Calculation 2 12" xfId="174" xr:uid="{00000000-0005-0000-0000-0000A8000000}"/>
    <cellStyle name="Calculation 2 12 2" xfId="175" xr:uid="{00000000-0005-0000-0000-0000A9000000}"/>
    <cellStyle name="Calculation 2 12 2 2" xfId="444" xr:uid="{00000000-0005-0000-0000-0000AA000000}"/>
    <cellStyle name="Calculation 2 12 2 2 2" xfId="619" xr:uid="{00000000-0005-0000-0000-0000AB000000}"/>
    <cellStyle name="Calculation 2 12 2 2 2 2" xfId="1325" xr:uid="{00000000-0005-0000-0000-0000AC000000}"/>
    <cellStyle name="Calculation 2 12 2 2 2 3" xfId="1785" xr:uid="{00000000-0005-0000-0000-0000AD000000}"/>
    <cellStyle name="Calculation 2 12 2 2 2 4" xfId="2172" xr:uid="{00000000-0005-0000-0000-0000AE000000}"/>
    <cellStyle name="Calculation 2 12 2 2 3" xfId="1155" xr:uid="{00000000-0005-0000-0000-0000AF000000}"/>
    <cellStyle name="Calculation 2 12 2 2 4" xfId="1641" xr:uid="{00000000-0005-0000-0000-0000B0000000}"/>
    <cellStyle name="Calculation 2 12 2 2 5" xfId="2006" xr:uid="{00000000-0005-0000-0000-0000B1000000}"/>
    <cellStyle name="Calculation 2 12 2 3" xfId="573" xr:uid="{00000000-0005-0000-0000-0000B2000000}"/>
    <cellStyle name="Calculation 2 12 2 3 2" xfId="1279" xr:uid="{00000000-0005-0000-0000-0000B3000000}"/>
    <cellStyle name="Calculation 2 12 2 3 3" xfId="1747" xr:uid="{00000000-0005-0000-0000-0000B4000000}"/>
    <cellStyle name="Calculation 2 12 2 3 4" xfId="2126" xr:uid="{00000000-0005-0000-0000-0000B5000000}"/>
    <cellStyle name="Calculation 2 12 2 4" xfId="887" xr:uid="{00000000-0005-0000-0000-0000B6000000}"/>
    <cellStyle name="Calculation 2 12 2 5" xfId="829" xr:uid="{00000000-0005-0000-0000-0000B7000000}"/>
    <cellStyle name="Calculation 2 12 2 6" xfId="1035" xr:uid="{00000000-0005-0000-0000-0000B8000000}"/>
    <cellStyle name="Calculation 2 12 3" xfId="362" xr:uid="{00000000-0005-0000-0000-0000B9000000}"/>
    <cellStyle name="Calculation 2 12 3 2" xfId="620" xr:uid="{00000000-0005-0000-0000-0000BA000000}"/>
    <cellStyle name="Calculation 2 12 3 2 2" xfId="1326" xr:uid="{00000000-0005-0000-0000-0000BB000000}"/>
    <cellStyle name="Calculation 2 12 3 2 3" xfId="1786" xr:uid="{00000000-0005-0000-0000-0000BC000000}"/>
    <cellStyle name="Calculation 2 12 3 2 4" xfId="2173" xr:uid="{00000000-0005-0000-0000-0000BD000000}"/>
    <cellStyle name="Calculation 2 12 3 3" xfId="1073" xr:uid="{00000000-0005-0000-0000-0000BE000000}"/>
    <cellStyle name="Calculation 2 12 3 4" xfId="1575" xr:uid="{00000000-0005-0000-0000-0000BF000000}"/>
    <cellStyle name="Calculation 2 12 3 5" xfId="1935" xr:uid="{00000000-0005-0000-0000-0000C0000000}"/>
    <cellStyle name="Calculation 2 12 4" xfId="501" xr:uid="{00000000-0005-0000-0000-0000C1000000}"/>
    <cellStyle name="Calculation 2 12 4 2" xfId="1208" xr:uid="{00000000-0005-0000-0000-0000C2000000}"/>
    <cellStyle name="Calculation 2 12 4 3" xfId="1689" xr:uid="{00000000-0005-0000-0000-0000C3000000}"/>
    <cellStyle name="Calculation 2 12 4 4" xfId="2055" xr:uid="{00000000-0005-0000-0000-0000C4000000}"/>
    <cellStyle name="Calculation 2 12 5" xfId="886" xr:uid="{00000000-0005-0000-0000-0000C5000000}"/>
    <cellStyle name="Calculation 2 12 6" xfId="1063" xr:uid="{00000000-0005-0000-0000-0000C6000000}"/>
    <cellStyle name="Calculation 2 12 7" xfId="839" xr:uid="{00000000-0005-0000-0000-0000C7000000}"/>
    <cellStyle name="Calculation 2 13" xfId="176" xr:uid="{00000000-0005-0000-0000-0000C8000000}"/>
    <cellStyle name="Calculation 2 13 2" xfId="425" xr:uid="{00000000-0005-0000-0000-0000C9000000}"/>
    <cellStyle name="Calculation 2 13 2 2" xfId="621" xr:uid="{00000000-0005-0000-0000-0000CA000000}"/>
    <cellStyle name="Calculation 2 13 2 2 2" xfId="1327" xr:uid="{00000000-0005-0000-0000-0000CB000000}"/>
    <cellStyle name="Calculation 2 13 2 2 3" xfId="1787" xr:uid="{00000000-0005-0000-0000-0000CC000000}"/>
    <cellStyle name="Calculation 2 13 2 2 4" xfId="2174" xr:uid="{00000000-0005-0000-0000-0000CD000000}"/>
    <cellStyle name="Calculation 2 13 2 3" xfId="1136" xr:uid="{00000000-0005-0000-0000-0000CE000000}"/>
    <cellStyle name="Calculation 2 13 2 4" xfId="1625" xr:uid="{00000000-0005-0000-0000-0000CF000000}"/>
    <cellStyle name="Calculation 2 13 2 5" xfId="1988" xr:uid="{00000000-0005-0000-0000-0000D0000000}"/>
    <cellStyle name="Calculation 2 13 3" xfId="554" xr:uid="{00000000-0005-0000-0000-0000D1000000}"/>
    <cellStyle name="Calculation 2 13 3 2" xfId="1261" xr:uid="{00000000-0005-0000-0000-0000D2000000}"/>
    <cellStyle name="Calculation 2 13 3 3" xfId="1731" xr:uid="{00000000-0005-0000-0000-0000D3000000}"/>
    <cellStyle name="Calculation 2 13 3 4" xfId="2108" xr:uid="{00000000-0005-0000-0000-0000D4000000}"/>
    <cellStyle name="Calculation 2 13 4" xfId="888" xr:uid="{00000000-0005-0000-0000-0000D5000000}"/>
    <cellStyle name="Calculation 2 13 5" xfId="857" xr:uid="{00000000-0005-0000-0000-0000D6000000}"/>
    <cellStyle name="Calculation 2 13 6" xfId="1565" xr:uid="{00000000-0005-0000-0000-0000D7000000}"/>
    <cellStyle name="Calculation 2 14" xfId="355" xr:uid="{00000000-0005-0000-0000-0000D8000000}"/>
    <cellStyle name="Calculation 2 14 2" xfId="622" xr:uid="{00000000-0005-0000-0000-0000D9000000}"/>
    <cellStyle name="Calculation 2 14 2 2" xfId="1328" xr:uid="{00000000-0005-0000-0000-0000DA000000}"/>
    <cellStyle name="Calculation 2 14 2 3" xfId="1788" xr:uid="{00000000-0005-0000-0000-0000DB000000}"/>
    <cellStyle name="Calculation 2 14 2 4" xfId="2175" xr:uid="{00000000-0005-0000-0000-0000DC000000}"/>
    <cellStyle name="Calculation 2 14 3" xfId="1066" xr:uid="{00000000-0005-0000-0000-0000DD000000}"/>
    <cellStyle name="Calculation 2 14 4" xfId="1569" xr:uid="{00000000-0005-0000-0000-0000DE000000}"/>
    <cellStyle name="Calculation 2 14 5" xfId="1928" xr:uid="{00000000-0005-0000-0000-0000DF000000}"/>
    <cellStyle name="Calculation 2 15" xfId="493" xr:uid="{00000000-0005-0000-0000-0000E0000000}"/>
    <cellStyle name="Calculation 2 15 2" xfId="1201" xr:uid="{00000000-0005-0000-0000-0000E1000000}"/>
    <cellStyle name="Calculation 2 15 3" xfId="1681" xr:uid="{00000000-0005-0000-0000-0000E2000000}"/>
    <cellStyle name="Calculation 2 15 4" xfId="2048" xr:uid="{00000000-0005-0000-0000-0000E3000000}"/>
    <cellStyle name="Calculation 2 16" xfId="787" xr:uid="{00000000-0005-0000-0000-0000E4000000}"/>
    <cellStyle name="Calculation 2 16 2" xfId="1485" xr:uid="{00000000-0005-0000-0000-0000E5000000}"/>
    <cellStyle name="Calculation 2 16 3" xfId="1908" xr:uid="{00000000-0005-0000-0000-0000E6000000}"/>
    <cellStyle name="Calculation 2 16 4" xfId="2291" xr:uid="{00000000-0005-0000-0000-0000E7000000}"/>
    <cellStyle name="Calculation 2 17" xfId="802" xr:uid="{00000000-0005-0000-0000-0000E8000000}"/>
    <cellStyle name="Calculation 2 17 2" xfId="1500" xr:uid="{00000000-0005-0000-0000-0000E9000000}"/>
    <cellStyle name="Calculation 2 17 3" xfId="1923" xr:uid="{00000000-0005-0000-0000-0000EA000000}"/>
    <cellStyle name="Calculation 2 17 4" xfId="2306" xr:uid="{00000000-0005-0000-0000-0000EB000000}"/>
    <cellStyle name="Calculation 2 18" xfId="835" xr:uid="{00000000-0005-0000-0000-0000EC000000}"/>
    <cellStyle name="Calculation 2 19" xfId="1197" xr:uid="{00000000-0005-0000-0000-0000ED000000}"/>
    <cellStyle name="Calculation 2 2" xfId="177" xr:uid="{00000000-0005-0000-0000-0000EE000000}"/>
    <cellStyle name="Calculation 2 2 2" xfId="178" xr:uid="{00000000-0005-0000-0000-0000EF000000}"/>
    <cellStyle name="Calculation 2 2 2 2" xfId="426" xr:uid="{00000000-0005-0000-0000-0000F0000000}"/>
    <cellStyle name="Calculation 2 2 2 2 2" xfId="623" xr:uid="{00000000-0005-0000-0000-0000F1000000}"/>
    <cellStyle name="Calculation 2 2 2 2 2 2" xfId="1329" xr:uid="{00000000-0005-0000-0000-0000F2000000}"/>
    <cellStyle name="Calculation 2 2 2 2 2 3" xfId="1789" xr:uid="{00000000-0005-0000-0000-0000F3000000}"/>
    <cellStyle name="Calculation 2 2 2 2 2 4" xfId="2176" xr:uid="{00000000-0005-0000-0000-0000F4000000}"/>
    <cellStyle name="Calculation 2 2 2 2 3" xfId="1137" xr:uid="{00000000-0005-0000-0000-0000F5000000}"/>
    <cellStyle name="Calculation 2 2 2 2 4" xfId="1626" xr:uid="{00000000-0005-0000-0000-0000F6000000}"/>
    <cellStyle name="Calculation 2 2 2 2 5" xfId="1989" xr:uid="{00000000-0005-0000-0000-0000F7000000}"/>
    <cellStyle name="Calculation 2 2 2 3" xfId="555" xr:uid="{00000000-0005-0000-0000-0000F8000000}"/>
    <cellStyle name="Calculation 2 2 2 3 2" xfId="1262" xr:uid="{00000000-0005-0000-0000-0000F9000000}"/>
    <cellStyle name="Calculation 2 2 2 3 3" xfId="1732" xr:uid="{00000000-0005-0000-0000-0000FA000000}"/>
    <cellStyle name="Calculation 2 2 2 3 4" xfId="2109" xr:uid="{00000000-0005-0000-0000-0000FB000000}"/>
    <cellStyle name="Calculation 2 2 2 4" xfId="890" xr:uid="{00000000-0005-0000-0000-0000FC000000}"/>
    <cellStyle name="Calculation 2 2 2 5" xfId="877" xr:uid="{00000000-0005-0000-0000-0000FD000000}"/>
    <cellStyle name="Calculation 2 2 2 6" xfId="1567" xr:uid="{00000000-0005-0000-0000-0000FE000000}"/>
    <cellStyle name="Calculation 2 2 3" xfId="363" xr:uid="{00000000-0005-0000-0000-0000FF000000}"/>
    <cellStyle name="Calculation 2 2 3 2" xfId="624" xr:uid="{00000000-0005-0000-0000-000000010000}"/>
    <cellStyle name="Calculation 2 2 3 2 2" xfId="1330" xr:uid="{00000000-0005-0000-0000-000001010000}"/>
    <cellStyle name="Calculation 2 2 3 2 3" xfId="1790" xr:uid="{00000000-0005-0000-0000-000002010000}"/>
    <cellStyle name="Calculation 2 2 3 2 4" xfId="2177" xr:uid="{00000000-0005-0000-0000-000003010000}"/>
    <cellStyle name="Calculation 2 2 3 3" xfId="1074" xr:uid="{00000000-0005-0000-0000-000004010000}"/>
    <cellStyle name="Calculation 2 2 3 4" xfId="1576" xr:uid="{00000000-0005-0000-0000-000005010000}"/>
    <cellStyle name="Calculation 2 2 3 5" xfId="1936" xr:uid="{00000000-0005-0000-0000-000006010000}"/>
    <cellStyle name="Calculation 2 2 4" xfId="502" xr:uid="{00000000-0005-0000-0000-000007010000}"/>
    <cellStyle name="Calculation 2 2 4 2" xfId="1209" xr:uid="{00000000-0005-0000-0000-000008010000}"/>
    <cellStyle name="Calculation 2 2 4 3" xfId="1690" xr:uid="{00000000-0005-0000-0000-000009010000}"/>
    <cellStyle name="Calculation 2 2 4 4" xfId="2056" xr:uid="{00000000-0005-0000-0000-00000A010000}"/>
    <cellStyle name="Calculation 2 2 5" xfId="797" xr:uid="{00000000-0005-0000-0000-00000B010000}"/>
    <cellStyle name="Calculation 2 2 5 2" xfId="1495" xr:uid="{00000000-0005-0000-0000-00000C010000}"/>
    <cellStyle name="Calculation 2 2 5 3" xfId="1918" xr:uid="{00000000-0005-0000-0000-00000D010000}"/>
    <cellStyle name="Calculation 2 2 5 4" xfId="2301" xr:uid="{00000000-0005-0000-0000-00000E010000}"/>
    <cellStyle name="Calculation 2 2 6" xfId="796" xr:uid="{00000000-0005-0000-0000-00000F010000}"/>
    <cellStyle name="Calculation 2 2 6 2" xfId="1494" xr:uid="{00000000-0005-0000-0000-000010010000}"/>
    <cellStyle name="Calculation 2 2 6 3" xfId="1917" xr:uid="{00000000-0005-0000-0000-000011010000}"/>
    <cellStyle name="Calculation 2 2 6 4" xfId="2300" xr:uid="{00000000-0005-0000-0000-000012010000}"/>
    <cellStyle name="Calculation 2 2 7" xfId="889" xr:uid="{00000000-0005-0000-0000-000013010000}"/>
    <cellStyle name="Calculation 2 2 7 2" xfId="828" xr:uid="{00000000-0005-0000-0000-000014010000}"/>
    <cellStyle name="Calculation 2 2 7 3" xfId="1563" xr:uid="{00000000-0005-0000-0000-000015010000}"/>
    <cellStyle name="Calculation 2 2 8" xfId="846" xr:uid="{00000000-0005-0000-0000-000016010000}"/>
    <cellStyle name="Calculation 2 2 9" xfId="1612" xr:uid="{00000000-0005-0000-0000-000017010000}"/>
    <cellStyle name="Calculation 2 20" xfId="1861" xr:uid="{00000000-0005-0000-0000-000018010000}"/>
    <cellStyle name="Calculation 2 3" xfId="179" xr:uid="{00000000-0005-0000-0000-000019010000}"/>
    <cellStyle name="Calculation 2 3 2" xfId="180" xr:uid="{00000000-0005-0000-0000-00001A010000}"/>
    <cellStyle name="Calculation 2 3 2 2" xfId="427" xr:uid="{00000000-0005-0000-0000-00001B010000}"/>
    <cellStyle name="Calculation 2 3 2 2 2" xfId="625" xr:uid="{00000000-0005-0000-0000-00001C010000}"/>
    <cellStyle name="Calculation 2 3 2 2 2 2" xfId="1331" xr:uid="{00000000-0005-0000-0000-00001D010000}"/>
    <cellStyle name="Calculation 2 3 2 2 2 3" xfId="1791" xr:uid="{00000000-0005-0000-0000-00001E010000}"/>
    <cellStyle name="Calculation 2 3 2 2 2 4" xfId="2178" xr:uid="{00000000-0005-0000-0000-00001F010000}"/>
    <cellStyle name="Calculation 2 3 2 2 3" xfId="1138" xr:uid="{00000000-0005-0000-0000-000020010000}"/>
    <cellStyle name="Calculation 2 3 2 2 4" xfId="1627" xr:uid="{00000000-0005-0000-0000-000021010000}"/>
    <cellStyle name="Calculation 2 3 2 2 5" xfId="1990" xr:uid="{00000000-0005-0000-0000-000022010000}"/>
    <cellStyle name="Calculation 2 3 2 3" xfId="556" xr:uid="{00000000-0005-0000-0000-000023010000}"/>
    <cellStyle name="Calculation 2 3 2 3 2" xfId="1263" xr:uid="{00000000-0005-0000-0000-000024010000}"/>
    <cellStyle name="Calculation 2 3 2 3 3" xfId="1733" xr:uid="{00000000-0005-0000-0000-000025010000}"/>
    <cellStyle name="Calculation 2 3 2 3 4" xfId="2110" xr:uid="{00000000-0005-0000-0000-000026010000}"/>
    <cellStyle name="Calculation 2 3 2 4" xfId="892" xr:uid="{00000000-0005-0000-0000-000027010000}"/>
    <cellStyle name="Calculation 2 3 2 5" xfId="873" xr:uid="{00000000-0005-0000-0000-000028010000}"/>
    <cellStyle name="Calculation 2 3 2 6" xfId="848" xr:uid="{00000000-0005-0000-0000-000029010000}"/>
    <cellStyle name="Calculation 2 3 3" xfId="364" xr:uid="{00000000-0005-0000-0000-00002A010000}"/>
    <cellStyle name="Calculation 2 3 3 2" xfId="626" xr:uid="{00000000-0005-0000-0000-00002B010000}"/>
    <cellStyle name="Calculation 2 3 3 2 2" xfId="1332" xr:uid="{00000000-0005-0000-0000-00002C010000}"/>
    <cellStyle name="Calculation 2 3 3 2 3" xfId="1792" xr:uid="{00000000-0005-0000-0000-00002D010000}"/>
    <cellStyle name="Calculation 2 3 3 2 4" xfId="2179" xr:uid="{00000000-0005-0000-0000-00002E010000}"/>
    <cellStyle name="Calculation 2 3 3 3" xfId="1075" xr:uid="{00000000-0005-0000-0000-00002F010000}"/>
    <cellStyle name="Calculation 2 3 3 4" xfId="1577" xr:uid="{00000000-0005-0000-0000-000030010000}"/>
    <cellStyle name="Calculation 2 3 3 5" xfId="1937" xr:uid="{00000000-0005-0000-0000-000031010000}"/>
    <cellStyle name="Calculation 2 3 4" xfId="503" xr:uid="{00000000-0005-0000-0000-000032010000}"/>
    <cellStyle name="Calculation 2 3 4 2" xfId="1210" xr:uid="{00000000-0005-0000-0000-000033010000}"/>
    <cellStyle name="Calculation 2 3 4 3" xfId="1691" xr:uid="{00000000-0005-0000-0000-000034010000}"/>
    <cellStyle name="Calculation 2 3 4 4" xfId="2057" xr:uid="{00000000-0005-0000-0000-000035010000}"/>
    <cellStyle name="Calculation 2 3 5" xfId="891" xr:uid="{00000000-0005-0000-0000-000036010000}"/>
    <cellStyle name="Calculation 2 3 6" xfId="827" xr:uid="{00000000-0005-0000-0000-000037010000}"/>
    <cellStyle name="Calculation 2 3 7" xfId="1199" xr:uid="{00000000-0005-0000-0000-000038010000}"/>
    <cellStyle name="Calculation 2 4" xfId="181" xr:uid="{00000000-0005-0000-0000-000039010000}"/>
    <cellStyle name="Calculation 2 4 2" xfId="182" xr:uid="{00000000-0005-0000-0000-00003A010000}"/>
    <cellStyle name="Calculation 2 4 2 2" xfId="452" xr:uid="{00000000-0005-0000-0000-00003B010000}"/>
    <cellStyle name="Calculation 2 4 2 2 2" xfId="627" xr:uid="{00000000-0005-0000-0000-00003C010000}"/>
    <cellStyle name="Calculation 2 4 2 2 2 2" xfId="1333" xr:uid="{00000000-0005-0000-0000-00003D010000}"/>
    <cellStyle name="Calculation 2 4 2 2 2 3" xfId="1793" xr:uid="{00000000-0005-0000-0000-00003E010000}"/>
    <cellStyle name="Calculation 2 4 2 2 2 4" xfId="2180" xr:uid="{00000000-0005-0000-0000-00003F010000}"/>
    <cellStyle name="Calculation 2 4 2 2 3" xfId="1163" xr:uid="{00000000-0005-0000-0000-000040010000}"/>
    <cellStyle name="Calculation 2 4 2 2 4" xfId="1647" xr:uid="{00000000-0005-0000-0000-000041010000}"/>
    <cellStyle name="Calculation 2 4 2 2 5" xfId="2014" xr:uid="{00000000-0005-0000-0000-000042010000}"/>
    <cellStyle name="Calculation 2 4 2 3" xfId="581" xr:uid="{00000000-0005-0000-0000-000043010000}"/>
    <cellStyle name="Calculation 2 4 2 3 2" xfId="1287" xr:uid="{00000000-0005-0000-0000-000044010000}"/>
    <cellStyle name="Calculation 2 4 2 3 3" xfId="1753" xr:uid="{00000000-0005-0000-0000-000045010000}"/>
    <cellStyle name="Calculation 2 4 2 3 4" xfId="2134" xr:uid="{00000000-0005-0000-0000-000046010000}"/>
    <cellStyle name="Calculation 2 4 2 4" xfId="894" xr:uid="{00000000-0005-0000-0000-000047010000}"/>
    <cellStyle name="Calculation 2 4 2 5" xfId="869" xr:uid="{00000000-0005-0000-0000-000048010000}"/>
    <cellStyle name="Calculation 2 4 2 6" xfId="842" xr:uid="{00000000-0005-0000-0000-000049010000}"/>
    <cellStyle name="Calculation 2 4 3" xfId="365" xr:uid="{00000000-0005-0000-0000-00004A010000}"/>
    <cellStyle name="Calculation 2 4 3 2" xfId="628" xr:uid="{00000000-0005-0000-0000-00004B010000}"/>
    <cellStyle name="Calculation 2 4 3 2 2" xfId="1334" xr:uid="{00000000-0005-0000-0000-00004C010000}"/>
    <cellStyle name="Calculation 2 4 3 2 3" xfId="1794" xr:uid="{00000000-0005-0000-0000-00004D010000}"/>
    <cellStyle name="Calculation 2 4 3 2 4" xfId="2181" xr:uid="{00000000-0005-0000-0000-00004E010000}"/>
    <cellStyle name="Calculation 2 4 3 3" xfId="1076" xr:uid="{00000000-0005-0000-0000-00004F010000}"/>
    <cellStyle name="Calculation 2 4 3 4" xfId="1578" xr:uid="{00000000-0005-0000-0000-000050010000}"/>
    <cellStyle name="Calculation 2 4 3 5" xfId="1938" xr:uid="{00000000-0005-0000-0000-000051010000}"/>
    <cellStyle name="Calculation 2 4 4" xfId="504" xr:uid="{00000000-0005-0000-0000-000052010000}"/>
    <cellStyle name="Calculation 2 4 4 2" xfId="1211" xr:uid="{00000000-0005-0000-0000-000053010000}"/>
    <cellStyle name="Calculation 2 4 4 3" xfId="1692" xr:uid="{00000000-0005-0000-0000-000054010000}"/>
    <cellStyle name="Calculation 2 4 4 4" xfId="2058" xr:uid="{00000000-0005-0000-0000-000055010000}"/>
    <cellStyle name="Calculation 2 4 5" xfId="893" xr:uid="{00000000-0005-0000-0000-000056010000}"/>
    <cellStyle name="Calculation 2 4 6" xfId="826" xr:uid="{00000000-0005-0000-0000-000057010000}"/>
    <cellStyle name="Calculation 2 4 7" xfId="1678" xr:uid="{00000000-0005-0000-0000-000058010000}"/>
    <cellStyle name="Calculation 2 5" xfId="183" xr:uid="{00000000-0005-0000-0000-000059010000}"/>
    <cellStyle name="Calculation 2 5 2" xfId="184" xr:uid="{00000000-0005-0000-0000-00005A010000}"/>
    <cellStyle name="Calculation 2 5 2 2" xfId="476" xr:uid="{00000000-0005-0000-0000-00005B010000}"/>
    <cellStyle name="Calculation 2 5 2 2 2" xfId="629" xr:uid="{00000000-0005-0000-0000-00005C010000}"/>
    <cellStyle name="Calculation 2 5 2 2 2 2" xfId="1335" xr:uid="{00000000-0005-0000-0000-00005D010000}"/>
    <cellStyle name="Calculation 2 5 2 2 2 3" xfId="1795" xr:uid="{00000000-0005-0000-0000-00005E010000}"/>
    <cellStyle name="Calculation 2 5 2 2 2 4" xfId="2182" xr:uid="{00000000-0005-0000-0000-00005F010000}"/>
    <cellStyle name="Calculation 2 5 2 2 3" xfId="1187" xr:uid="{00000000-0005-0000-0000-000060010000}"/>
    <cellStyle name="Calculation 2 5 2 2 4" xfId="1666" xr:uid="{00000000-0005-0000-0000-000061010000}"/>
    <cellStyle name="Calculation 2 5 2 2 5" xfId="2038" xr:uid="{00000000-0005-0000-0000-000062010000}"/>
    <cellStyle name="Calculation 2 5 2 3" xfId="605" xr:uid="{00000000-0005-0000-0000-000063010000}"/>
    <cellStyle name="Calculation 2 5 2 3 2" xfId="1311" xr:uid="{00000000-0005-0000-0000-000064010000}"/>
    <cellStyle name="Calculation 2 5 2 3 3" xfId="1772" xr:uid="{00000000-0005-0000-0000-000065010000}"/>
    <cellStyle name="Calculation 2 5 2 3 4" xfId="2158" xr:uid="{00000000-0005-0000-0000-000066010000}"/>
    <cellStyle name="Calculation 2 5 2 4" xfId="896" xr:uid="{00000000-0005-0000-0000-000067010000}"/>
    <cellStyle name="Calculation 2 5 2 5" xfId="866" xr:uid="{00000000-0005-0000-0000-000068010000}"/>
    <cellStyle name="Calculation 2 5 2 6" xfId="918" xr:uid="{00000000-0005-0000-0000-000069010000}"/>
    <cellStyle name="Calculation 2 5 3" xfId="366" xr:uid="{00000000-0005-0000-0000-00006A010000}"/>
    <cellStyle name="Calculation 2 5 3 2" xfId="630" xr:uid="{00000000-0005-0000-0000-00006B010000}"/>
    <cellStyle name="Calculation 2 5 3 2 2" xfId="1336" xr:uid="{00000000-0005-0000-0000-00006C010000}"/>
    <cellStyle name="Calculation 2 5 3 2 3" xfId="1796" xr:uid="{00000000-0005-0000-0000-00006D010000}"/>
    <cellStyle name="Calculation 2 5 3 2 4" xfId="2183" xr:uid="{00000000-0005-0000-0000-00006E010000}"/>
    <cellStyle name="Calculation 2 5 3 3" xfId="1077" xr:uid="{00000000-0005-0000-0000-00006F010000}"/>
    <cellStyle name="Calculation 2 5 3 4" xfId="1579" xr:uid="{00000000-0005-0000-0000-000070010000}"/>
    <cellStyle name="Calculation 2 5 3 5" xfId="1939" xr:uid="{00000000-0005-0000-0000-000071010000}"/>
    <cellStyle name="Calculation 2 5 4" xfId="505" xr:uid="{00000000-0005-0000-0000-000072010000}"/>
    <cellStyle name="Calculation 2 5 4 2" xfId="1212" xr:uid="{00000000-0005-0000-0000-000073010000}"/>
    <cellStyle name="Calculation 2 5 4 3" xfId="1693" xr:uid="{00000000-0005-0000-0000-000074010000}"/>
    <cellStyle name="Calculation 2 5 4 4" xfId="2059" xr:uid="{00000000-0005-0000-0000-000075010000}"/>
    <cellStyle name="Calculation 2 5 5" xfId="895" xr:uid="{00000000-0005-0000-0000-000076010000}"/>
    <cellStyle name="Calculation 2 5 6" xfId="825" xr:uid="{00000000-0005-0000-0000-000077010000}"/>
    <cellStyle name="Calculation 2 5 7" xfId="1481" xr:uid="{00000000-0005-0000-0000-000078010000}"/>
    <cellStyle name="Calculation 2 6" xfId="185" xr:uid="{00000000-0005-0000-0000-000079010000}"/>
    <cellStyle name="Calculation 2 6 2" xfId="186" xr:uid="{00000000-0005-0000-0000-00007A010000}"/>
    <cellStyle name="Calculation 2 6 2 2" xfId="450" xr:uid="{00000000-0005-0000-0000-00007B010000}"/>
    <cellStyle name="Calculation 2 6 2 2 2" xfId="631" xr:uid="{00000000-0005-0000-0000-00007C010000}"/>
    <cellStyle name="Calculation 2 6 2 2 2 2" xfId="1337" xr:uid="{00000000-0005-0000-0000-00007D010000}"/>
    <cellStyle name="Calculation 2 6 2 2 2 3" xfId="1797" xr:uid="{00000000-0005-0000-0000-00007E010000}"/>
    <cellStyle name="Calculation 2 6 2 2 2 4" xfId="2184" xr:uid="{00000000-0005-0000-0000-00007F010000}"/>
    <cellStyle name="Calculation 2 6 2 2 3" xfId="1161" xr:uid="{00000000-0005-0000-0000-000080010000}"/>
    <cellStyle name="Calculation 2 6 2 2 4" xfId="1645" xr:uid="{00000000-0005-0000-0000-000081010000}"/>
    <cellStyle name="Calculation 2 6 2 2 5" xfId="2012" xr:uid="{00000000-0005-0000-0000-000082010000}"/>
    <cellStyle name="Calculation 2 6 2 3" xfId="579" xr:uid="{00000000-0005-0000-0000-000083010000}"/>
    <cellStyle name="Calculation 2 6 2 3 2" xfId="1285" xr:uid="{00000000-0005-0000-0000-000084010000}"/>
    <cellStyle name="Calculation 2 6 2 3 3" xfId="1751" xr:uid="{00000000-0005-0000-0000-000085010000}"/>
    <cellStyle name="Calculation 2 6 2 3 4" xfId="2132" xr:uid="{00000000-0005-0000-0000-000086010000}"/>
    <cellStyle name="Calculation 2 6 2 4" xfId="898" xr:uid="{00000000-0005-0000-0000-000087010000}"/>
    <cellStyle name="Calculation 2 6 2 5" xfId="862" xr:uid="{00000000-0005-0000-0000-000088010000}"/>
    <cellStyle name="Calculation 2 6 2 6" xfId="810" xr:uid="{00000000-0005-0000-0000-000089010000}"/>
    <cellStyle name="Calculation 2 6 3" xfId="367" xr:uid="{00000000-0005-0000-0000-00008A010000}"/>
    <cellStyle name="Calculation 2 6 3 2" xfId="632" xr:uid="{00000000-0005-0000-0000-00008B010000}"/>
    <cellStyle name="Calculation 2 6 3 2 2" xfId="1338" xr:uid="{00000000-0005-0000-0000-00008C010000}"/>
    <cellStyle name="Calculation 2 6 3 2 3" xfId="1798" xr:uid="{00000000-0005-0000-0000-00008D010000}"/>
    <cellStyle name="Calculation 2 6 3 2 4" xfId="2185" xr:uid="{00000000-0005-0000-0000-00008E010000}"/>
    <cellStyle name="Calculation 2 6 3 3" xfId="1078" xr:uid="{00000000-0005-0000-0000-00008F010000}"/>
    <cellStyle name="Calculation 2 6 3 4" xfId="1580" xr:uid="{00000000-0005-0000-0000-000090010000}"/>
    <cellStyle name="Calculation 2 6 3 5" xfId="1940" xr:uid="{00000000-0005-0000-0000-000091010000}"/>
    <cellStyle name="Calculation 2 6 4" xfId="506" xr:uid="{00000000-0005-0000-0000-000092010000}"/>
    <cellStyle name="Calculation 2 6 4 2" xfId="1213" xr:uid="{00000000-0005-0000-0000-000093010000}"/>
    <cellStyle name="Calculation 2 6 4 3" xfId="1694" xr:uid="{00000000-0005-0000-0000-000094010000}"/>
    <cellStyle name="Calculation 2 6 4 4" xfId="2060" xr:uid="{00000000-0005-0000-0000-000095010000}"/>
    <cellStyle name="Calculation 2 6 5" xfId="897" xr:uid="{00000000-0005-0000-0000-000096010000}"/>
    <cellStyle name="Calculation 2 6 6" xfId="824" xr:uid="{00000000-0005-0000-0000-000097010000}"/>
    <cellStyle name="Calculation 2 6 7" xfId="809" xr:uid="{00000000-0005-0000-0000-000098010000}"/>
    <cellStyle name="Calculation 2 7" xfId="187" xr:uid="{00000000-0005-0000-0000-000099010000}"/>
    <cellStyle name="Calculation 2 7 2" xfId="188" xr:uid="{00000000-0005-0000-0000-00009A010000}"/>
    <cellStyle name="Calculation 2 7 2 2" xfId="477" xr:uid="{00000000-0005-0000-0000-00009B010000}"/>
    <cellStyle name="Calculation 2 7 2 2 2" xfId="633" xr:uid="{00000000-0005-0000-0000-00009C010000}"/>
    <cellStyle name="Calculation 2 7 2 2 2 2" xfId="1339" xr:uid="{00000000-0005-0000-0000-00009D010000}"/>
    <cellStyle name="Calculation 2 7 2 2 2 3" xfId="1799" xr:uid="{00000000-0005-0000-0000-00009E010000}"/>
    <cellStyle name="Calculation 2 7 2 2 2 4" xfId="2186" xr:uid="{00000000-0005-0000-0000-00009F010000}"/>
    <cellStyle name="Calculation 2 7 2 2 3" xfId="1188" xr:uid="{00000000-0005-0000-0000-0000A0010000}"/>
    <cellStyle name="Calculation 2 7 2 2 4" xfId="1667" xr:uid="{00000000-0005-0000-0000-0000A1010000}"/>
    <cellStyle name="Calculation 2 7 2 2 5" xfId="2039" xr:uid="{00000000-0005-0000-0000-0000A2010000}"/>
    <cellStyle name="Calculation 2 7 2 3" xfId="606" xr:uid="{00000000-0005-0000-0000-0000A3010000}"/>
    <cellStyle name="Calculation 2 7 2 3 2" xfId="1312" xr:uid="{00000000-0005-0000-0000-0000A4010000}"/>
    <cellStyle name="Calculation 2 7 2 3 3" xfId="1773" xr:uid="{00000000-0005-0000-0000-0000A5010000}"/>
    <cellStyle name="Calculation 2 7 2 3 4" xfId="2159" xr:uid="{00000000-0005-0000-0000-0000A6010000}"/>
    <cellStyle name="Calculation 2 7 2 4" xfId="900" xr:uid="{00000000-0005-0000-0000-0000A7010000}"/>
    <cellStyle name="Calculation 2 7 2 5" xfId="860" xr:uid="{00000000-0005-0000-0000-0000A8010000}"/>
    <cellStyle name="Calculation 2 7 2 6" xfId="1554" xr:uid="{00000000-0005-0000-0000-0000A9010000}"/>
    <cellStyle name="Calculation 2 7 3" xfId="368" xr:uid="{00000000-0005-0000-0000-0000AA010000}"/>
    <cellStyle name="Calculation 2 7 3 2" xfId="634" xr:uid="{00000000-0005-0000-0000-0000AB010000}"/>
    <cellStyle name="Calculation 2 7 3 2 2" xfId="1340" xr:uid="{00000000-0005-0000-0000-0000AC010000}"/>
    <cellStyle name="Calculation 2 7 3 2 3" xfId="1800" xr:uid="{00000000-0005-0000-0000-0000AD010000}"/>
    <cellStyle name="Calculation 2 7 3 2 4" xfId="2187" xr:uid="{00000000-0005-0000-0000-0000AE010000}"/>
    <cellStyle name="Calculation 2 7 3 3" xfId="1079" xr:uid="{00000000-0005-0000-0000-0000AF010000}"/>
    <cellStyle name="Calculation 2 7 3 4" xfId="1581" xr:uid="{00000000-0005-0000-0000-0000B0010000}"/>
    <cellStyle name="Calculation 2 7 3 5" xfId="1941" xr:uid="{00000000-0005-0000-0000-0000B1010000}"/>
    <cellStyle name="Calculation 2 7 4" xfId="507" xr:uid="{00000000-0005-0000-0000-0000B2010000}"/>
    <cellStyle name="Calculation 2 7 4 2" xfId="1214" xr:uid="{00000000-0005-0000-0000-0000B3010000}"/>
    <cellStyle name="Calculation 2 7 4 3" xfId="1695" xr:uid="{00000000-0005-0000-0000-0000B4010000}"/>
    <cellStyle name="Calculation 2 7 4 4" xfId="2061" xr:uid="{00000000-0005-0000-0000-0000B5010000}"/>
    <cellStyle name="Calculation 2 7 5" xfId="899" xr:uid="{00000000-0005-0000-0000-0000B6010000}"/>
    <cellStyle name="Calculation 2 7 6" xfId="823" xr:uid="{00000000-0005-0000-0000-0000B7010000}"/>
    <cellStyle name="Calculation 2 7 7" xfId="1679" xr:uid="{00000000-0005-0000-0000-0000B8010000}"/>
    <cellStyle name="Calculation 2 8" xfId="189" xr:uid="{00000000-0005-0000-0000-0000B9010000}"/>
    <cellStyle name="Calculation 2 8 2" xfId="190" xr:uid="{00000000-0005-0000-0000-0000BA010000}"/>
    <cellStyle name="Calculation 2 8 2 2" xfId="458" xr:uid="{00000000-0005-0000-0000-0000BB010000}"/>
    <cellStyle name="Calculation 2 8 2 2 2" xfId="635" xr:uid="{00000000-0005-0000-0000-0000BC010000}"/>
    <cellStyle name="Calculation 2 8 2 2 2 2" xfId="1341" xr:uid="{00000000-0005-0000-0000-0000BD010000}"/>
    <cellStyle name="Calculation 2 8 2 2 2 3" xfId="1801" xr:uid="{00000000-0005-0000-0000-0000BE010000}"/>
    <cellStyle name="Calculation 2 8 2 2 2 4" xfId="2188" xr:uid="{00000000-0005-0000-0000-0000BF010000}"/>
    <cellStyle name="Calculation 2 8 2 2 3" xfId="1169" xr:uid="{00000000-0005-0000-0000-0000C0010000}"/>
    <cellStyle name="Calculation 2 8 2 2 4" xfId="1653" xr:uid="{00000000-0005-0000-0000-0000C1010000}"/>
    <cellStyle name="Calculation 2 8 2 2 5" xfId="2020" xr:uid="{00000000-0005-0000-0000-0000C2010000}"/>
    <cellStyle name="Calculation 2 8 2 3" xfId="587" xr:uid="{00000000-0005-0000-0000-0000C3010000}"/>
    <cellStyle name="Calculation 2 8 2 3 2" xfId="1293" xr:uid="{00000000-0005-0000-0000-0000C4010000}"/>
    <cellStyle name="Calculation 2 8 2 3 3" xfId="1759" xr:uid="{00000000-0005-0000-0000-0000C5010000}"/>
    <cellStyle name="Calculation 2 8 2 3 4" xfId="2140" xr:uid="{00000000-0005-0000-0000-0000C6010000}"/>
    <cellStyle name="Calculation 2 8 2 4" xfId="902" xr:uid="{00000000-0005-0000-0000-0000C7010000}"/>
    <cellStyle name="Calculation 2 8 2 5" xfId="1040" xr:uid="{00000000-0005-0000-0000-0000C8010000}"/>
    <cellStyle name="Calculation 2 8 2 6" xfId="1557" xr:uid="{00000000-0005-0000-0000-0000C9010000}"/>
    <cellStyle name="Calculation 2 8 3" xfId="369" xr:uid="{00000000-0005-0000-0000-0000CA010000}"/>
    <cellStyle name="Calculation 2 8 3 2" xfId="636" xr:uid="{00000000-0005-0000-0000-0000CB010000}"/>
    <cellStyle name="Calculation 2 8 3 2 2" xfId="1342" xr:uid="{00000000-0005-0000-0000-0000CC010000}"/>
    <cellStyle name="Calculation 2 8 3 2 3" xfId="1802" xr:uid="{00000000-0005-0000-0000-0000CD010000}"/>
    <cellStyle name="Calculation 2 8 3 2 4" xfId="2189" xr:uid="{00000000-0005-0000-0000-0000CE010000}"/>
    <cellStyle name="Calculation 2 8 3 3" xfId="1080" xr:uid="{00000000-0005-0000-0000-0000CF010000}"/>
    <cellStyle name="Calculation 2 8 3 4" xfId="1582" xr:uid="{00000000-0005-0000-0000-0000D0010000}"/>
    <cellStyle name="Calculation 2 8 3 5" xfId="1942" xr:uid="{00000000-0005-0000-0000-0000D1010000}"/>
    <cellStyle name="Calculation 2 8 4" xfId="508" xr:uid="{00000000-0005-0000-0000-0000D2010000}"/>
    <cellStyle name="Calculation 2 8 4 2" xfId="1215" xr:uid="{00000000-0005-0000-0000-0000D3010000}"/>
    <cellStyle name="Calculation 2 8 4 3" xfId="1696" xr:uid="{00000000-0005-0000-0000-0000D4010000}"/>
    <cellStyle name="Calculation 2 8 4 4" xfId="2062" xr:uid="{00000000-0005-0000-0000-0000D5010000}"/>
    <cellStyle name="Calculation 2 8 5" xfId="901" xr:uid="{00000000-0005-0000-0000-0000D6010000}"/>
    <cellStyle name="Calculation 2 8 6" xfId="1027" xr:uid="{00000000-0005-0000-0000-0000D7010000}"/>
    <cellStyle name="Calculation 2 8 7" xfId="1556" xr:uid="{00000000-0005-0000-0000-0000D8010000}"/>
    <cellStyle name="Calculation 2 9" xfId="191" xr:uid="{00000000-0005-0000-0000-0000D9010000}"/>
    <cellStyle name="Calculation 2 9 2" xfId="192" xr:uid="{00000000-0005-0000-0000-0000DA010000}"/>
    <cellStyle name="Calculation 2 9 2 2" xfId="455" xr:uid="{00000000-0005-0000-0000-0000DB010000}"/>
    <cellStyle name="Calculation 2 9 2 2 2" xfId="637" xr:uid="{00000000-0005-0000-0000-0000DC010000}"/>
    <cellStyle name="Calculation 2 9 2 2 2 2" xfId="1343" xr:uid="{00000000-0005-0000-0000-0000DD010000}"/>
    <cellStyle name="Calculation 2 9 2 2 2 3" xfId="1803" xr:uid="{00000000-0005-0000-0000-0000DE010000}"/>
    <cellStyle name="Calculation 2 9 2 2 2 4" xfId="2190" xr:uid="{00000000-0005-0000-0000-0000DF010000}"/>
    <cellStyle name="Calculation 2 9 2 2 3" xfId="1166" xr:uid="{00000000-0005-0000-0000-0000E0010000}"/>
    <cellStyle name="Calculation 2 9 2 2 4" xfId="1650" xr:uid="{00000000-0005-0000-0000-0000E1010000}"/>
    <cellStyle name="Calculation 2 9 2 2 5" xfId="2017" xr:uid="{00000000-0005-0000-0000-0000E2010000}"/>
    <cellStyle name="Calculation 2 9 2 3" xfId="584" xr:uid="{00000000-0005-0000-0000-0000E3010000}"/>
    <cellStyle name="Calculation 2 9 2 3 2" xfId="1290" xr:uid="{00000000-0005-0000-0000-0000E4010000}"/>
    <cellStyle name="Calculation 2 9 2 3 3" xfId="1756" xr:uid="{00000000-0005-0000-0000-0000E5010000}"/>
    <cellStyle name="Calculation 2 9 2 3 4" xfId="2137" xr:uid="{00000000-0005-0000-0000-0000E6010000}"/>
    <cellStyle name="Calculation 2 9 2 4" xfId="904" xr:uid="{00000000-0005-0000-0000-0000E7010000}"/>
    <cellStyle name="Calculation 2 9 2 5" xfId="822" xr:uid="{00000000-0005-0000-0000-0000E8010000}"/>
    <cellStyle name="Calculation 2 9 2 6" xfId="813" xr:uid="{00000000-0005-0000-0000-0000E9010000}"/>
    <cellStyle name="Calculation 2 9 3" xfId="370" xr:uid="{00000000-0005-0000-0000-0000EA010000}"/>
    <cellStyle name="Calculation 2 9 3 2" xfId="638" xr:uid="{00000000-0005-0000-0000-0000EB010000}"/>
    <cellStyle name="Calculation 2 9 3 2 2" xfId="1344" xr:uid="{00000000-0005-0000-0000-0000EC010000}"/>
    <cellStyle name="Calculation 2 9 3 2 3" xfId="1804" xr:uid="{00000000-0005-0000-0000-0000ED010000}"/>
    <cellStyle name="Calculation 2 9 3 2 4" xfId="2191" xr:uid="{00000000-0005-0000-0000-0000EE010000}"/>
    <cellStyle name="Calculation 2 9 3 3" xfId="1081" xr:uid="{00000000-0005-0000-0000-0000EF010000}"/>
    <cellStyle name="Calculation 2 9 3 4" xfId="1583" xr:uid="{00000000-0005-0000-0000-0000F0010000}"/>
    <cellStyle name="Calculation 2 9 3 5" xfId="1943" xr:uid="{00000000-0005-0000-0000-0000F1010000}"/>
    <cellStyle name="Calculation 2 9 4" xfId="509" xr:uid="{00000000-0005-0000-0000-0000F2010000}"/>
    <cellStyle name="Calculation 2 9 4 2" xfId="1216" xr:uid="{00000000-0005-0000-0000-0000F3010000}"/>
    <cellStyle name="Calculation 2 9 4 3" xfId="1697" xr:uid="{00000000-0005-0000-0000-0000F4010000}"/>
    <cellStyle name="Calculation 2 9 4 4" xfId="2063" xr:uid="{00000000-0005-0000-0000-0000F5010000}"/>
    <cellStyle name="Calculation 2 9 5" xfId="903" xr:uid="{00000000-0005-0000-0000-0000F6010000}"/>
    <cellStyle name="Calculation 2 9 6" xfId="1050" xr:uid="{00000000-0005-0000-0000-0000F7010000}"/>
    <cellStyle name="Calculation 2 9 7" xfId="864" xr:uid="{00000000-0005-0000-0000-0000F8010000}"/>
    <cellStyle name="Check Cell" xfId="91" builtinId="23" customBuiltin="1"/>
    <cellStyle name="Check Cell 2" xfId="147" xr:uid="{00000000-0005-0000-0000-0000FA010000}"/>
    <cellStyle name="Comma" xfId="5" builtinId="3"/>
    <cellStyle name="Comma 2" xfId="4" xr:uid="{00000000-0005-0000-0000-0000FC010000}"/>
    <cellStyle name="Comma 2 2" xfId="12" xr:uid="{00000000-0005-0000-0000-0000FD010000}"/>
    <cellStyle name="Comma 2 2 2" xfId="489" xr:uid="{00000000-0005-0000-0000-0000FE010000}"/>
    <cellStyle name="Comma 2 2 3" xfId="149" xr:uid="{00000000-0005-0000-0000-0000FF010000}"/>
    <cellStyle name="Comma 2 3" xfId="193" xr:uid="{00000000-0005-0000-0000-000000020000}"/>
    <cellStyle name="Comma 2 3 2" xfId="194" xr:uid="{00000000-0005-0000-0000-000001020000}"/>
    <cellStyle name="Comma 3" xfId="52" xr:uid="{00000000-0005-0000-0000-000002020000}"/>
    <cellStyle name="Comma 3 2" xfId="334" xr:uid="{00000000-0005-0000-0000-000003020000}"/>
    <cellStyle name="Comma 3 3" xfId="150" xr:uid="{00000000-0005-0000-0000-000004020000}"/>
    <cellStyle name="Comma 4" xfId="148" xr:uid="{00000000-0005-0000-0000-000005020000}"/>
    <cellStyle name="Comma 4 2" xfId="776" xr:uid="{00000000-0005-0000-0000-000006020000}"/>
    <cellStyle name="Comma 5" xfId="53" xr:uid="{00000000-0005-0000-0000-000007020000}"/>
    <cellStyle name="Currency 2" xfId="195" xr:uid="{00000000-0005-0000-0000-000008020000}"/>
    <cellStyle name="Currency 2 2" xfId="778" xr:uid="{00000000-0005-0000-0000-000009020000}"/>
    <cellStyle name="Currency 2 3" xfId="906" xr:uid="{00000000-0005-0000-0000-00000A020000}"/>
    <cellStyle name="Currency 3" xfId="779" xr:uid="{00000000-0005-0000-0000-00000B020000}"/>
    <cellStyle name="Currency 4" xfId="777" xr:uid="{00000000-0005-0000-0000-00000C020000}"/>
    <cellStyle name="Data" xfId="196" xr:uid="{00000000-0005-0000-0000-00000D020000}"/>
    <cellStyle name="Data 2" xfId="197" xr:uid="{00000000-0005-0000-0000-00000E020000}"/>
    <cellStyle name="Data 2 2" xfId="752" xr:uid="{00000000-0005-0000-0000-00000F020000}"/>
    <cellStyle name="Data 2 2 2" xfId="1457" xr:uid="{00000000-0005-0000-0000-000010020000}"/>
    <cellStyle name="Data 2 3" xfId="760" xr:uid="{00000000-0005-0000-0000-000011020000}"/>
    <cellStyle name="Data 2 3 2" xfId="1465" xr:uid="{00000000-0005-0000-0000-000012020000}"/>
    <cellStyle name="Data 2 4" xfId="908" xr:uid="{00000000-0005-0000-0000-000013020000}"/>
    <cellStyle name="Data 3" xfId="371" xr:uid="{00000000-0005-0000-0000-000014020000}"/>
    <cellStyle name="Data 3 2" xfId="639" xr:uid="{00000000-0005-0000-0000-000015020000}"/>
    <cellStyle name="Data 3 2 2" xfId="1345" xr:uid="{00000000-0005-0000-0000-000016020000}"/>
    <cellStyle name="Data 3 3" xfId="768" xr:uid="{00000000-0005-0000-0000-000017020000}"/>
    <cellStyle name="Data 3 3 2" xfId="1473" xr:uid="{00000000-0005-0000-0000-000018020000}"/>
    <cellStyle name="Data 3 4" xfId="1082" xr:uid="{00000000-0005-0000-0000-000019020000}"/>
    <cellStyle name="Data 4" xfId="744" xr:uid="{00000000-0005-0000-0000-00001A020000}"/>
    <cellStyle name="Data 4 2" xfId="1449" xr:uid="{00000000-0005-0000-0000-00001B020000}"/>
    <cellStyle name="Data 5" xfId="907" xr:uid="{00000000-0005-0000-0000-00001C020000}"/>
    <cellStyle name="Data Superscript" xfId="198" xr:uid="{00000000-0005-0000-0000-00001D020000}"/>
    <cellStyle name="Data Superscript 2" xfId="199" xr:uid="{00000000-0005-0000-0000-00001E020000}"/>
    <cellStyle name="Data Superscript 2 2" xfId="753" xr:uid="{00000000-0005-0000-0000-00001F020000}"/>
    <cellStyle name="Data Superscript 2 2 2" xfId="1458" xr:uid="{00000000-0005-0000-0000-000020020000}"/>
    <cellStyle name="Data Superscript 2 3" xfId="761" xr:uid="{00000000-0005-0000-0000-000021020000}"/>
    <cellStyle name="Data Superscript 2 3 2" xfId="1466" xr:uid="{00000000-0005-0000-0000-000022020000}"/>
    <cellStyle name="Data Superscript 2 4" xfId="910" xr:uid="{00000000-0005-0000-0000-000023020000}"/>
    <cellStyle name="Data Superscript 3" xfId="372" xr:uid="{00000000-0005-0000-0000-000024020000}"/>
    <cellStyle name="Data Superscript 3 2" xfId="640" xr:uid="{00000000-0005-0000-0000-000025020000}"/>
    <cellStyle name="Data Superscript 3 2 2" xfId="1346" xr:uid="{00000000-0005-0000-0000-000026020000}"/>
    <cellStyle name="Data Superscript 3 3" xfId="769" xr:uid="{00000000-0005-0000-0000-000027020000}"/>
    <cellStyle name="Data Superscript 3 3 2" xfId="1474" xr:uid="{00000000-0005-0000-0000-000028020000}"/>
    <cellStyle name="Data Superscript 3 4" xfId="1083" xr:uid="{00000000-0005-0000-0000-000029020000}"/>
    <cellStyle name="Data Superscript 4" xfId="745" xr:uid="{00000000-0005-0000-0000-00002A020000}"/>
    <cellStyle name="Data Superscript 4 2" xfId="1450" xr:uid="{00000000-0005-0000-0000-00002B020000}"/>
    <cellStyle name="Data Superscript 5" xfId="909" xr:uid="{00000000-0005-0000-0000-00002C020000}"/>
    <cellStyle name="Data_1-43A" xfId="200" xr:uid="{00000000-0005-0000-0000-00002D020000}"/>
    <cellStyle name="Data-one deci" xfId="201" xr:uid="{00000000-0005-0000-0000-00002E020000}"/>
    <cellStyle name="Data-one deci 2" xfId="202" xr:uid="{00000000-0005-0000-0000-00002F020000}"/>
    <cellStyle name="Data-one deci 2 2" xfId="754" xr:uid="{00000000-0005-0000-0000-000030020000}"/>
    <cellStyle name="Data-one deci 2 2 2" xfId="1459" xr:uid="{00000000-0005-0000-0000-000031020000}"/>
    <cellStyle name="Data-one deci 2 3" xfId="762" xr:uid="{00000000-0005-0000-0000-000032020000}"/>
    <cellStyle name="Data-one deci 2 3 2" xfId="1467" xr:uid="{00000000-0005-0000-0000-000033020000}"/>
    <cellStyle name="Data-one deci 2 4" xfId="912" xr:uid="{00000000-0005-0000-0000-000034020000}"/>
    <cellStyle name="Data-one deci 3" xfId="373" xr:uid="{00000000-0005-0000-0000-000035020000}"/>
    <cellStyle name="Data-one deci 3 2" xfId="641" xr:uid="{00000000-0005-0000-0000-000036020000}"/>
    <cellStyle name="Data-one deci 3 2 2" xfId="1347" xr:uid="{00000000-0005-0000-0000-000037020000}"/>
    <cellStyle name="Data-one deci 3 3" xfId="770" xr:uid="{00000000-0005-0000-0000-000038020000}"/>
    <cellStyle name="Data-one deci 3 3 2" xfId="1475" xr:uid="{00000000-0005-0000-0000-000039020000}"/>
    <cellStyle name="Data-one deci 3 4" xfId="1084" xr:uid="{00000000-0005-0000-0000-00003A020000}"/>
    <cellStyle name="Data-one deci 4" xfId="746" xr:uid="{00000000-0005-0000-0000-00003B020000}"/>
    <cellStyle name="Data-one deci 4 2" xfId="1451" xr:uid="{00000000-0005-0000-0000-00003C020000}"/>
    <cellStyle name="Data-one deci 5" xfId="911" xr:uid="{00000000-0005-0000-0000-00003D020000}"/>
    <cellStyle name="Explanatory Text" xfId="93" builtinId="53" customBuiltin="1"/>
    <cellStyle name="Explanatory Text 2" xfId="151" xr:uid="{00000000-0005-0000-0000-00003F020000}"/>
    <cellStyle name="Good" xfId="84" builtinId="26" customBuiltin="1"/>
    <cellStyle name="Good 2" xfId="152" xr:uid="{00000000-0005-0000-0000-000041020000}"/>
    <cellStyle name="Heading 1" xfId="80" builtinId="16" customBuiltin="1"/>
    <cellStyle name="Heading 1 2" xfId="153" xr:uid="{00000000-0005-0000-0000-000043020000}"/>
    <cellStyle name="Heading 2" xfId="81" builtinId="17" customBuiltin="1"/>
    <cellStyle name="Heading 2 2" xfId="154" xr:uid="{00000000-0005-0000-0000-000045020000}"/>
    <cellStyle name="Heading 3" xfId="82" builtinId="18" customBuiltin="1"/>
    <cellStyle name="Heading 3 2" xfId="155" xr:uid="{00000000-0005-0000-0000-000047020000}"/>
    <cellStyle name="Heading 3 2 2" xfId="203" xr:uid="{00000000-0005-0000-0000-000048020000}"/>
    <cellStyle name="Heading 3 2 2 2" xfId="428" xr:uid="{00000000-0005-0000-0000-000049020000}"/>
    <cellStyle name="Heading 3 2 2 2 2" xfId="642" xr:uid="{00000000-0005-0000-0000-00004A020000}"/>
    <cellStyle name="Heading 3 2 2 3" xfId="557" xr:uid="{00000000-0005-0000-0000-00004B020000}"/>
    <cellStyle name="Heading 3 2 3" xfId="494" xr:uid="{00000000-0005-0000-0000-00004C020000}"/>
    <cellStyle name="Heading 3 2 4" xfId="878" xr:uid="{00000000-0005-0000-0000-00004D020000}"/>
    <cellStyle name="Heading 4" xfId="83" builtinId="19" customBuiltin="1"/>
    <cellStyle name="Heading 4 2" xfId="156" xr:uid="{00000000-0005-0000-0000-00004F020000}"/>
    <cellStyle name="Hed Side" xfId="204" xr:uid="{00000000-0005-0000-0000-000050020000}"/>
    <cellStyle name="Hed Side 2" xfId="205" xr:uid="{00000000-0005-0000-0000-000051020000}"/>
    <cellStyle name="Hed Side 2 2" xfId="755" xr:uid="{00000000-0005-0000-0000-000052020000}"/>
    <cellStyle name="Hed Side 2 2 2" xfId="1460" xr:uid="{00000000-0005-0000-0000-000053020000}"/>
    <cellStyle name="Hed Side 2 3" xfId="763" xr:uid="{00000000-0005-0000-0000-000054020000}"/>
    <cellStyle name="Hed Side 2 3 2" xfId="1468" xr:uid="{00000000-0005-0000-0000-000055020000}"/>
    <cellStyle name="Hed Side 2 4" xfId="914" xr:uid="{00000000-0005-0000-0000-000056020000}"/>
    <cellStyle name="Hed Side 3" xfId="374" xr:uid="{00000000-0005-0000-0000-000057020000}"/>
    <cellStyle name="Hed Side 3 2" xfId="643" xr:uid="{00000000-0005-0000-0000-000058020000}"/>
    <cellStyle name="Hed Side 3 2 2" xfId="1348" xr:uid="{00000000-0005-0000-0000-000059020000}"/>
    <cellStyle name="Hed Side 3 3" xfId="771" xr:uid="{00000000-0005-0000-0000-00005A020000}"/>
    <cellStyle name="Hed Side 3 3 2" xfId="1476" xr:uid="{00000000-0005-0000-0000-00005B020000}"/>
    <cellStyle name="Hed Side 3 4" xfId="1085" xr:uid="{00000000-0005-0000-0000-00005C020000}"/>
    <cellStyle name="Hed Side 4" xfId="747" xr:uid="{00000000-0005-0000-0000-00005D020000}"/>
    <cellStyle name="Hed Side 4 2" xfId="1452" xr:uid="{00000000-0005-0000-0000-00005E020000}"/>
    <cellStyle name="Hed Side 5" xfId="913" xr:uid="{00000000-0005-0000-0000-00005F020000}"/>
    <cellStyle name="Hed Side bold" xfId="206" xr:uid="{00000000-0005-0000-0000-000060020000}"/>
    <cellStyle name="Hed Side bold 2" xfId="375" xr:uid="{00000000-0005-0000-0000-000061020000}"/>
    <cellStyle name="Hed Side bold 2 2" xfId="1086" xr:uid="{00000000-0005-0000-0000-000062020000}"/>
    <cellStyle name="Hed Side bold 3" xfId="915" xr:uid="{00000000-0005-0000-0000-000063020000}"/>
    <cellStyle name="Hed Side Regular" xfId="207" xr:uid="{00000000-0005-0000-0000-000064020000}"/>
    <cellStyle name="Hed Side Regular 2" xfId="208" xr:uid="{00000000-0005-0000-0000-000065020000}"/>
    <cellStyle name="Hed Side Regular 2 2" xfId="756" xr:uid="{00000000-0005-0000-0000-000066020000}"/>
    <cellStyle name="Hed Side Regular 2 2 2" xfId="1461" xr:uid="{00000000-0005-0000-0000-000067020000}"/>
    <cellStyle name="Hed Side Regular 2 3" xfId="764" xr:uid="{00000000-0005-0000-0000-000068020000}"/>
    <cellStyle name="Hed Side Regular 2 3 2" xfId="1469" xr:uid="{00000000-0005-0000-0000-000069020000}"/>
    <cellStyle name="Hed Side Regular 2 4" xfId="917" xr:uid="{00000000-0005-0000-0000-00006A020000}"/>
    <cellStyle name="Hed Side Regular 3" xfId="376" xr:uid="{00000000-0005-0000-0000-00006B020000}"/>
    <cellStyle name="Hed Side Regular 3 2" xfId="644" xr:uid="{00000000-0005-0000-0000-00006C020000}"/>
    <cellStyle name="Hed Side Regular 3 2 2" xfId="1349" xr:uid="{00000000-0005-0000-0000-00006D020000}"/>
    <cellStyle name="Hed Side Regular 3 3" xfId="772" xr:uid="{00000000-0005-0000-0000-00006E020000}"/>
    <cellStyle name="Hed Side Regular 3 3 2" xfId="1477" xr:uid="{00000000-0005-0000-0000-00006F020000}"/>
    <cellStyle name="Hed Side Regular 3 4" xfId="1087" xr:uid="{00000000-0005-0000-0000-000070020000}"/>
    <cellStyle name="Hed Side Regular 4" xfId="748" xr:uid="{00000000-0005-0000-0000-000071020000}"/>
    <cellStyle name="Hed Side Regular 4 2" xfId="1453" xr:uid="{00000000-0005-0000-0000-000072020000}"/>
    <cellStyle name="Hed Side Regular 5" xfId="916" xr:uid="{00000000-0005-0000-0000-000073020000}"/>
    <cellStyle name="Hed Side_1-43A" xfId="209" xr:uid="{00000000-0005-0000-0000-000074020000}"/>
    <cellStyle name="Hed Top" xfId="210" xr:uid="{00000000-0005-0000-0000-000075020000}"/>
    <cellStyle name="Hyperlink" xfId="78" builtinId="8"/>
    <cellStyle name="Hyperlink 2" xfId="54" xr:uid="{00000000-0005-0000-0000-000077020000}"/>
    <cellStyle name="Hyperlink 2 2" xfId="353" xr:uid="{00000000-0005-0000-0000-000078020000}"/>
    <cellStyle name="Hyperlink 2 2 2" xfId="780" xr:uid="{00000000-0005-0000-0000-000079020000}"/>
    <cellStyle name="Hyperlink 2 2 3" xfId="1064" xr:uid="{00000000-0005-0000-0000-00007A020000}"/>
    <cellStyle name="Hyperlink 2 3" xfId="168" xr:uid="{00000000-0005-0000-0000-00007B020000}"/>
    <cellStyle name="Hyperlink 3" xfId="55" xr:uid="{00000000-0005-0000-0000-00007C020000}"/>
    <cellStyle name="Hyperlink 3 2" xfId="491" xr:uid="{00000000-0005-0000-0000-00007D020000}"/>
    <cellStyle name="Hyperlink 3 3" xfId="211" xr:uid="{00000000-0005-0000-0000-00007E020000}"/>
    <cellStyle name="Hyperlink 4" xfId="77" xr:uid="{00000000-0005-0000-0000-00007F020000}"/>
    <cellStyle name="Hyperlink 5" xfId="354" xr:uid="{00000000-0005-0000-0000-000080020000}"/>
    <cellStyle name="Hyperlink 6" xfId="119" xr:uid="{00000000-0005-0000-0000-000081020000}"/>
    <cellStyle name="Input" xfId="87" builtinId="20" customBuiltin="1"/>
    <cellStyle name="Input 2" xfId="157" xr:uid="{00000000-0005-0000-0000-000083020000}"/>
    <cellStyle name="Input 2 10" xfId="212" xr:uid="{00000000-0005-0000-0000-000084020000}"/>
    <cellStyle name="Input 2 10 2" xfId="213" xr:uid="{00000000-0005-0000-0000-000085020000}"/>
    <cellStyle name="Input 2 10 2 2" xfId="459" xr:uid="{00000000-0005-0000-0000-000086020000}"/>
    <cellStyle name="Input 2 10 2 2 2" xfId="645" xr:uid="{00000000-0005-0000-0000-000087020000}"/>
    <cellStyle name="Input 2 10 2 2 2 2" xfId="1350" xr:uid="{00000000-0005-0000-0000-000088020000}"/>
    <cellStyle name="Input 2 10 2 2 2 3" xfId="1811" xr:uid="{00000000-0005-0000-0000-000089020000}"/>
    <cellStyle name="Input 2 10 2 2 2 4" xfId="2192" xr:uid="{00000000-0005-0000-0000-00008A020000}"/>
    <cellStyle name="Input 2 10 2 2 3" xfId="1170" xr:uid="{00000000-0005-0000-0000-00008B020000}"/>
    <cellStyle name="Input 2 10 2 2 4" xfId="1654" xr:uid="{00000000-0005-0000-0000-00008C020000}"/>
    <cellStyle name="Input 2 10 2 2 5" xfId="2021" xr:uid="{00000000-0005-0000-0000-00008D020000}"/>
    <cellStyle name="Input 2 10 2 3" xfId="588" xr:uid="{00000000-0005-0000-0000-00008E020000}"/>
    <cellStyle name="Input 2 10 2 3 2" xfId="1294" xr:uid="{00000000-0005-0000-0000-00008F020000}"/>
    <cellStyle name="Input 2 10 2 3 3" xfId="1760" xr:uid="{00000000-0005-0000-0000-000090020000}"/>
    <cellStyle name="Input 2 10 2 3 4" xfId="2141" xr:uid="{00000000-0005-0000-0000-000091020000}"/>
    <cellStyle name="Input 2 10 2 4" xfId="920" xr:uid="{00000000-0005-0000-0000-000092020000}"/>
    <cellStyle name="Input 2 10 2 5" xfId="1048" xr:uid="{00000000-0005-0000-0000-000093020000}"/>
    <cellStyle name="Input 2 10 2 6" xfId="1589" xr:uid="{00000000-0005-0000-0000-000094020000}"/>
    <cellStyle name="Input 2 10 3" xfId="377" xr:uid="{00000000-0005-0000-0000-000095020000}"/>
    <cellStyle name="Input 2 10 3 2" xfId="646" xr:uid="{00000000-0005-0000-0000-000096020000}"/>
    <cellStyle name="Input 2 10 3 2 2" xfId="1351" xr:uid="{00000000-0005-0000-0000-000097020000}"/>
    <cellStyle name="Input 2 10 3 2 3" xfId="1812" xr:uid="{00000000-0005-0000-0000-000098020000}"/>
    <cellStyle name="Input 2 10 3 2 4" xfId="2193" xr:uid="{00000000-0005-0000-0000-000099020000}"/>
    <cellStyle name="Input 2 10 3 3" xfId="1088" xr:uid="{00000000-0005-0000-0000-00009A020000}"/>
    <cellStyle name="Input 2 10 3 4" xfId="1590" xr:uid="{00000000-0005-0000-0000-00009B020000}"/>
    <cellStyle name="Input 2 10 3 5" xfId="1944" xr:uid="{00000000-0005-0000-0000-00009C020000}"/>
    <cellStyle name="Input 2 10 4" xfId="510" xr:uid="{00000000-0005-0000-0000-00009D020000}"/>
    <cellStyle name="Input 2 10 4 2" xfId="1217" xr:uid="{00000000-0005-0000-0000-00009E020000}"/>
    <cellStyle name="Input 2 10 4 3" xfId="1698" xr:uid="{00000000-0005-0000-0000-00009F020000}"/>
    <cellStyle name="Input 2 10 4 4" xfId="2064" xr:uid="{00000000-0005-0000-0000-0000A0020000}"/>
    <cellStyle name="Input 2 10 5" xfId="919" xr:uid="{00000000-0005-0000-0000-0000A1020000}"/>
    <cellStyle name="Input 2 10 6" xfId="1036" xr:uid="{00000000-0005-0000-0000-0000A2020000}"/>
    <cellStyle name="Input 2 10 7" xfId="1810" xr:uid="{00000000-0005-0000-0000-0000A3020000}"/>
    <cellStyle name="Input 2 11" xfId="214" xr:uid="{00000000-0005-0000-0000-0000A4020000}"/>
    <cellStyle name="Input 2 11 2" xfId="215" xr:uid="{00000000-0005-0000-0000-0000A5020000}"/>
    <cellStyle name="Input 2 11 2 2" xfId="454" xr:uid="{00000000-0005-0000-0000-0000A6020000}"/>
    <cellStyle name="Input 2 11 2 2 2" xfId="647" xr:uid="{00000000-0005-0000-0000-0000A7020000}"/>
    <cellStyle name="Input 2 11 2 2 2 2" xfId="1352" xr:uid="{00000000-0005-0000-0000-0000A8020000}"/>
    <cellStyle name="Input 2 11 2 2 2 3" xfId="1813" xr:uid="{00000000-0005-0000-0000-0000A9020000}"/>
    <cellStyle name="Input 2 11 2 2 2 4" xfId="2194" xr:uid="{00000000-0005-0000-0000-0000AA020000}"/>
    <cellStyle name="Input 2 11 2 2 3" xfId="1165" xr:uid="{00000000-0005-0000-0000-0000AB020000}"/>
    <cellStyle name="Input 2 11 2 2 4" xfId="1649" xr:uid="{00000000-0005-0000-0000-0000AC020000}"/>
    <cellStyle name="Input 2 11 2 2 5" xfId="2016" xr:uid="{00000000-0005-0000-0000-0000AD020000}"/>
    <cellStyle name="Input 2 11 2 3" xfId="583" xr:uid="{00000000-0005-0000-0000-0000AE020000}"/>
    <cellStyle name="Input 2 11 2 3 2" xfId="1289" xr:uid="{00000000-0005-0000-0000-0000AF020000}"/>
    <cellStyle name="Input 2 11 2 3 3" xfId="1755" xr:uid="{00000000-0005-0000-0000-0000B0020000}"/>
    <cellStyle name="Input 2 11 2 3 4" xfId="2136" xr:uid="{00000000-0005-0000-0000-0000B1020000}"/>
    <cellStyle name="Input 2 11 2 4" xfId="922" xr:uid="{00000000-0005-0000-0000-0000B2020000}"/>
    <cellStyle name="Input 2 11 2 5" xfId="818" xr:uid="{00000000-0005-0000-0000-0000B3020000}"/>
    <cellStyle name="Input 2 11 2 6" xfId="1894" xr:uid="{00000000-0005-0000-0000-0000B4020000}"/>
    <cellStyle name="Input 2 11 3" xfId="378" xr:uid="{00000000-0005-0000-0000-0000B5020000}"/>
    <cellStyle name="Input 2 11 3 2" xfId="648" xr:uid="{00000000-0005-0000-0000-0000B6020000}"/>
    <cellStyle name="Input 2 11 3 2 2" xfId="1353" xr:uid="{00000000-0005-0000-0000-0000B7020000}"/>
    <cellStyle name="Input 2 11 3 2 3" xfId="1814" xr:uid="{00000000-0005-0000-0000-0000B8020000}"/>
    <cellStyle name="Input 2 11 3 2 4" xfId="2195" xr:uid="{00000000-0005-0000-0000-0000B9020000}"/>
    <cellStyle name="Input 2 11 3 3" xfId="1089" xr:uid="{00000000-0005-0000-0000-0000BA020000}"/>
    <cellStyle name="Input 2 11 3 4" xfId="1591" xr:uid="{00000000-0005-0000-0000-0000BB020000}"/>
    <cellStyle name="Input 2 11 3 5" xfId="1945" xr:uid="{00000000-0005-0000-0000-0000BC020000}"/>
    <cellStyle name="Input 2 11 4" xfId="511" xr:uid="{00000000-0005-0000-0000-0000BD020000}"/>
    <cellStyle name="Input 2 11 4 2" xfId="1218" xr:uid="{00000000-0005-0000-0000-0000BE020000}"/>
    <cellStyle name="Input 2 11 4 3" xfId="1699" xr:uid="{00000000-0005-0000-0000-0000BF020000}"/>
    <cellStyle name="Input 2 11 4 4" xfId="2065" xr:uid="{00000000-0005-0000-0000-0000C0020000}"/>
    <cellStyle name="Input 2 11 5" xfId="921" xr:uid="{00000000-0005-0000-0000-0000C1020000}"/>
    <cellStyle name="Input 2 11 6" xfId="1058" xr:uid="{00000000-0005-0000-0000-0000C2020000}"/>
    <cellStyle name="Input 2 11 7" xfId="1899" xr:uid="{00000000-0005-0000-0000-0000C3020000}"/>
    <cellStyle name="Input 2 12" xfId="216" xr:uid="{00000000-0005-0000-0000-0000C4020000}"/>
    <cellStyle name="Input 2 12 2" xfId="217" xr:uid="{00000000-0005-0000-0000-0000C5020000}"/>
    <cellStyle name="Input 2 12 2 2" xfId="485" xr:uid="{00000000-0005-0000-0000-0000C6020000}"/>
    <cellStyle name="Input 2 12 2 2 2" xfId="649" xr:uid="{00000000-0005-0000-0000-0000C7020000}"/>
    <cellStyle name="Input 2 12 2 2 2 2" xfId="1354" xr:uid="{00000000-0005-0000-0000-0000C8020000}"/>
    <cellStyle name="Input 2 12 2 2 2 3" xfId="1815" xr:uid="{00000000-0005-0000-0000-0000C9020000}"/>
    <cellStyle name="Input 2 12 2 2 2 4" xfId="2196" xr:uid="{00000000-0005-0000-0000-0000CA020000}"/>
    <cellStyle name="Input 2 12 2 2 3" xfId="1196" xr:uid="{00000000-0005-0000-0000-0000CB020000}"/>
    <cellStyle name="Input 2 12 2 2 4" xfId="1674" xr:uid="{00000000-0005-0000-0000-0000CC020000}"/>
    <cellStyle name="Input 2 12 2 2 5" xfId="2047" xr:uid="{00000000-0005-0000-0000-0000CD020000}"/>
    <cellStyle name="Input 2 12 2 3" xfId="614" xr:uid="{00000000-0005-0000-0000-0000CE020000}"/>
    <cellStyle name="Input 2 12 2 3 2" xfId="1320" xr:uid="{00000000-0005-0000-0000-0000CF020000}"/>
    <cellStyle name="Input 2 12 2 3 3" xfId="1780" xr:uid="{00000000-0005-0000-0000-0000D0020000}"/>
    <cellStyle name="Input 2 12 2 3 4" xfId="2167" xr:uid="{00000000-0005-0000-0000-0000D1020000}"/>
    <cellStyle name="Input 2 12 2 4" xfId="924" xr:uid="{00000000-0005-0000-0000-0000D2020000}"/>
    <cellStyle name="Input 2 12 2 5" xfId="1028" xr:uid="{00000000-0005-0000-0000-0000D3020000}"/>
    <cellStyle name="Input 2 12 2 6" xfId="865" xr:uid="{00000000-0005-0000-0000-0000D4020000}"/>
    <cellStyle name="Input 2 12 3" xfId="379" xr:uid="{00000000-0005-0000-0000-0000D5020000}"/>
    <cellStyle name="Input 2 12 3 2" xfId="650" xr:uid="{00000000-0005-0000-0000-0000D6020000}"/>
    <cellStyle name="Input 2 12 3 2 2" xfId="1355" xr:uid="{00000000-0005-0000-0000-0000D7020000}"/>
    <cellStyle name="Input 2 12 3 2 3" xfId="1816" xr:uid="{00000000-0005-0000-0000-0000D8020000}"/>
    <cellStyle name="Input 2 12 3 2 4" xfId="2197" xr:uid="{00000000-0005-0000-0000-0000D9020000}"/>
    <cellStyle name="Input 2 12 3 3" xfId="1090" xr:uid="{00000000-0005-0000-0000-0000DA020000}"/>
    <cellStyle name="Input 2 12 3 4" xfId="1592" xr:uid="{00000000-0005-0000-0000-0000DB020000}"/>
    <cellStyle name="Input 2 12 3 5" xfId="1946" xr:uid="{00000000-0005-0000-0000-0000DC020000}"/>
    <cellStyle name="Input 2 12 4" xfId="512" xr:uid="{00000000-0005-0000-0000-0000DD020000}"/>
    <cellStyle name="Input 2 12 4 2" xfId="1219" xr:uid="{00000000-0005-0000-0000-0000DE020000}"/>
    <cellStyle name="Input 2 12 4 3" xfId="1700" xr:uid="{00000000-0005-0000-0000-0000DF020000}"/>
    <cellStyle name="Input 2 12 4 4" xfId="2066" xr:uid="{00000000-0005-0000-0000-0000E0020000}"/>
    <cellStyle name="Input 2 12 5" xfId="923" xr:uid="{00000000-0005-0000-0000-0000E1020000}"/>
    <cellStyle name="Input 2 12 6" xfId="859" xr:uid="{00000000-0005-0000-0000-0000E2020000}"/>
    <cellStyle name="Input 2 12 7" xfId="1034" xr:uid="{00000000-0005-0000-0000-0000E3020000}"/>
    <cellStyle name="Input 2 13" xfId="218" xr:uid="{00000000-0005-0000-0000-0000E4020000}"/>
    <cellStyle name="Input 2 13 2" xfId="429" xr:uid="{00000000-0005-0000-0000-0000E5020000}"/>
    <cellStyle name="Input 2 13 2 2" xfId="651" xr:uid="{00000000-0005-0000-0000-0000E6020000}"/>
    <cellStyle name="Input 2 13 2 2 2" xfId="1356" xr:uid="{00000000-0005-0000-0000-0000E7020000}"/>
    <cellStyle name="Input 2 13 2 2 3" xfId="1817" xr:uid="{00000000-0005-0000-0000-0000E8020000}"/>
    <cellStyle name="Input 2 13 2 2 4" xfId="2198" xr:uid="{00000000-0005-0000-0000-0000E9020000}"/>
    <cellStyle name="Input 2 13 2 3" xfId="1140" xr:uid="{00000000-0005-0000-0000-0000EA020000}"/>
    <cellStyle name="Input 2 13 2 4" xfId="1629" xr:uid="{00000000-0005-0000-0000-0000EB020000}"/>
    <cellStyle name="Input 2 13 2 5" xfId="1991" xr:uid="{00000000-0005-0000-0000-0000EC020000}"/>
    <cellStyle name="Input 2 13 3" xfId="558" xr:uid="{00000000-0005-0000-0000-0000ED020000}"/>
    <cellStyle name="Input 2 13 3 2" xfId="1264" xr:uid="{00000000-0005-0000-0000-0000EE020000}"/>
    <cellStyle name="Input 2 13 3 3" xfId="1735" xr:uid="{00000000-0005-0000-0000-0000EF020000}"/>
    <cellStyle name="Input 2 13 3 4" xfId="2111" xr:uid="{00000000-0005-0000-0000-0000F0020000}"/>
    <cellStyle name="Input 2 13 4" xfId="925" xr:uid="{00000000-0005-0000-0000-0000F1020000}"/>
    <cellStyle name="Input 2 13 5" xfId="1041" xr:uid="{00000000-0005-0000-0000-0000F2020000}"/>
    <cellStyle name="Input 2 13 6" xfId="1588" xr:uid="{00000000-0005-0000-0000-0000F3020000}"/>
    <cellStyle name="Input 2 14" xfId="356" xr:uid="{00000000-0005-0000-0000-0000F4020000}"/>
    <cellStyle name="Input 2 14 2" xfId="652" xr:uid="{00000000-0005-0000-0000-0000F5020000}"/>
    <cellStyle name="Input 2 14 2 2" xfId="1357" xr:uid="{00000000-0005-0000-0000-0000F6020000}"/>
    <cellStyle name="Input 2 14 2 3" xfId="1818" xr:uid="{00000000-0005-0000-0000-0000F7020000}"/>
    <cellStyle name="Input 2 14 2 4" xfId="2199" xr:uid="{00000000-0005-0000-0000-0000F8020000}"/>
    <cellStyle name="Input 2 14 3" xfId="1067" xr:uid="{00000000-0005-0000-0000-0000F9020000}"/>
    <cellStyle name="Input 2 14 4" xfId="1570" xr:uid="{00000000-0005-0000-0000-0000FA020000}"/>
    <cellStyle name="Input 2 14 5" xfId="1929" xr:uid="{00000000-0005-0000-0000-0000FB020000}"/>
    <cellStyle name="Input 2 15" xfId="495" xr:uid="{00000000-0005-0000-0000-0000FC020000}"/>
    <cellStyle name="Input 2 15 2" xfId="1202" xr:uid="{00000000-0005-0000-0000-0000FD020000}"/>
    <cellStyle name="Input 2 15 3" xfId="1683" xr:uid="{00000000-0005-0000-0000-0000FE020000}"/>
    <cellStyle name="Input 2 15 4" xfId="2049" xr:uid="{00000000-0005-0000-0000-0000FF020000}"/>
    <cellStyle name="Input 2 16" xfId="790" xr:uid="{00000000-0005-0000-0000-000000030000}"/>
    <cellStyle name="Input 2 16 2" xfId="1488" xr:uid="{00000000-0005-0000-0000-000001030000}"/>
    <cellStyle name="Input 2 16 3" xfId="1911" xr:uid="{00000000-0005-0000-0000-000002030000}"/>
    <cellStyle name="Input 2 16 4" xfId="2294" xr:uid="{00000000-0005-0000-0000-000003030000}"/>
    <cellStyle name="Input 2 17" xfId="785" xr:uid="{00000000-0005-0000-0000-000004030000}"/>
    <cellStyle name="Input 2 17 2" xfId="1483" xr:uid="{00000000-0005-0000-0000-000005030000}"/>
    <cellStyle name="Input 2 17 3" xfId="1906" xr:uid="{00000000-0005-0000-0000-000006030000}"/>
    <cellStyle name="Input 2 17 4" xfId="2289" xr:uid="{00000000-0005-0000-0000-000007030000}"/>
    <cellStyle name="Input 2 18" xfId="840" xr:uid="{00000000-0005-0000-0000-000008030000}"/>
    <cellStyle name="Input 2 19" xfId="841" xr:uid="{00000000-0005-0000-0000-000009030000}"/>
    <cellStyle name="Input 2 2" xfId="219" xr:uid="{00000000-0005-0000-0000-00000A030000}"/>
    <cellStyle name="Input 2 2 2" xfId="220" xr:uid="{00000000-0005-0000-0000-00000B030000}"/>
    <cellStyle name="Input 2 2 2 2" xfId="430" xr:uid="{00000000-0005-0000-0000-00000C030000}"/>
    <cellStyle name="Input 2 2 2 2 2" xfId="653" xr:uid="{00000000-0005-0000-0000-00000D030000}"/>
    <cellStyle name="Input 2 2 2 2 2 2" xfId="1358" xr:uid="{00000000-0005-0000-0000-00000E030000}"/>
    <cellStyle name="Input 2 2 2 2 2 3" xfId="1819" xr:uid="{00000000-0005-0000-0000-00000F030000}"/>
    <cellStyle name="Input 2 2 2 2 2 4" xfId="2200" xr:uid="{00000000-0005-0000-0000-000010030000}"/>
    <cellStyle name="Input 2 2 2 2 3" xfId="1141" xr:uid="{00000000-0005-0000-0000-000011030000}"/>
    <cellStyle name="Input 2 2 2 2 4" xfId="1630" xr:uid="{00000000-0005-0000-0000-000012030000}"/>
    <cellStyle name="Input 2 2 2 2 5" xfId="1992" xr:uid="{00000000-0005-0000-0000-000013030000}"/>
    <cellStyle name="Input 2 2 2 3" xfId="559" xr:uid="{00000000-0005-0000-0000-000014030000}"/>
    <cellStyle name="Input 2 2 2 3 2" xfId="1265" xr:uid="{00000000-0005-0000-0000-000015030000}"/>
    <cellStyle name="Input 2 2 2 3 3" xfId="1736" xr:uid="{00000000-0005-0000-0000-000016030000}"/>
    <cellStyle name="Input 2 2 2 3 4" xfId="2112" xr:uid="{00000000-0005-0000-0000-000017030000}"/>
    <cellStyle name="Input 2 2 2 4" xfId="927" xr:uid="{00000000-0005-0000-0000-000018030000}"/>
    <cellStyle name="Input 2 2 2 5" xfId="817" xr:uid="{00000000-0005-0000-0000-000019030000}"/>
    <cellStyle name="Input 2 2 2 6" xfId="1889" xr:uid="{00000000-0005-0000-0000-00001A030000}"/>
    <cellStyle name="Input 2 2 3" xfId="380" xr:uid="{00000000-0005-0000-0000-00001B030000}"/>
    <cellStyle name="Input 2 2 3 2" xfId="654" xr:uid="{00000000-0005-0000-0000-00001C030000}"/>
    <cellStyle name="Input 2 2 3 2 2" xfId="1359" xr:uid="{00000000-0005-0000-0000-00001D030000}"/>
    <cellStyle name="Input 2 2 3 2 3" xfId="1820" xr:uid="{00000000-0005-0000-0000-00001E030000}"/>
    <cellStyle name="Input 2 2 3 2 4" xfId="2201" xr:uid="{00000000-0005-0000-0000-00001F030000}"/>
    <cellStyle name="Input 2 2 3 3" xfId="1091" xr:uid="{00000000-0005-0000-0000-000020030000}"/>
    <cellStyle name="Input 2 2 3 4" xfId="1593" xr:uid="{00000000-0005-0000-0000-000021030000}"/>
    <cellStyle name="Input 2 2 3 5" xfId="1947" xr:uid="{00000000-0005-0000-0000-000022030000}"/>
    <cellStyle name="Input 2 2 4" xfId="513" xr:uid="{00000000-0005-0000-0000-000023030000}"/>
    <cellStyle name="Input 2 2 4 2" xfId="1220" xr:uid="{00000000-0005-0000-0000-000024030000}"/>
    <cellStyle name="Input 2 2 4 3" xfId="1701" xr:uid="{00000000-0005-0000-0000-000025030000}"/>
    <cellStyle name="Input 2 2 4 4" xfId="2067" xr:uid="{00000000-0005-0000-0000-000026030000}"/>
    <cellStyle name="Input 2 2 5" xfId="784" xr:uid="{00000000-0005-0000-0000-000027030000}"/>
    <cellStyle name="Input 2 2 5 2" xfId="1482" xr:uid="{00000000-0005-0000-0000-000028030000}"/>
    <cellStyle name="Input 2 2 5 3" xfId="1905" xr:uid="{00000000-0005-0000-0000-000029030000}"/>
    <cellStyle name="Input 2 2 5 4" xfId="2288" xr:uid="{00000000-0005-0000-0000-00002A030000}"/>
    <cellStyle name="Input 2 2 6" xfId="803" xr:uid="{00000000-0005-0000-0000-00002B030000}"/>
    <cellStyle name="Input 2 2 6 2" xfId="1501" xr:uid="{00000000-0005-0000-0000-00002C030000}"/>
    <cellStyle name="Input 2 2 6 3" xfId="1924" xr:uid="{00000000-0005-0000-0000-00002D030000}"/>
    <cellStyle name="Input 2 2 6 4" xfId="2307" xr:uid="{00000000-0005-0000-0000-00002E030000}"/>
    <cellStyle name="Input 2 2 7" xfId="926" xr:uid="{00000000-0005-0000-0000-00002F030000}"/>
    <cellStyle name="Input 2 2 7 2" xfId="1051" xr:uid="{00000000-0005-0000-0000-000030030000}"/>
    <cellStyle name="Input 2 2 7 3" xfId="819" xr:uid="{00000000-0005-0000-0000-000031030000}"/>
    <cellStyle name="Input 2 2 8" xfId="849" xr:uid="{00000000-0005-0000-0000-000032030000}"/>
    <cellStyle name="Input 2 2 9" xfId="1685" xr:uid="{00000000-0005-0000-0000-000033030000}"/>
    <cellStyle name="Input 2 20" xfId="1860" xr:uid="{00000000-0005-0000-0000-000034030000}"/>
    <cellStyle name="Input 2 3" xfId="221" xr:uid="{00000000-0005-0000-0000-000035030000}"/>
    <cellStyle name="Input 2 3 2" xfId="222" xr:uid="{00000000-0005-0000-0000-000036030000}"/>
    <cellStyle name="Input 2 3 2 2" xfId="431" xr:uid="{00000000-0005-0000-0000-000037030000}"/>
    <cellStyle name="Input 2 3 2 2 2" xfId="655" xr:uid="{00000000-0005-0000-0000-000038030000}"/>
    <cellStyle name="Input 2 3 2 2 2 2" xfId="1360" xr:uid="{00000000-0005-0000-0000-000039030000}"/>
    <cellStyle name="Input 2 3 2 2 2 3" xfId="1821" xr:uid="{00000000-0005-0000-0000-00003A030000}"/>
    <cellStyle name="Input 2 3 2 2 2 4" xfId="2202" xr:uid="{00000000-0005-0000-0000-00003B030000}"/>
    <cellStyle name="Input 2 3 2 2 3" xfId="1142" xr:uid="{00000000-0005-0000-0000-00003C030000}"/>
    <cellStyle name="Input 2 3 2 2 4" xfId="1631" xr:uid="{00000000-0005-0000-0000-00003D030000}"/>
    <cellStyle name="Input 2 3 2 2 5" xfId="1993" xr:uid="{00000000-0005-0000-0000-00003E030000}"/>
    <cellStyle name="Input 2 3 2 3" xfId="560" xr:uid="{00000000-0005-0000-0000-00003F030000}"/>
    <cellStyle name="Input 2 3 2 3 2" xfId="1266" xr:uid="{00000000-0005-0000-0000-000040030000}"/>
    <cellStyle name="Input 2 3 2 3 3" xfId="1737" xr:uid="{00000000-0005-0000-0000-000041030000}"/>
    <cellStyle name="Input 2 3 2 3 4" xfId="2113" xr:uid="{00000000-0005-0000-0000-000042030000}"/>
    <cellStyle name="Input 2 3 2 4" xfId="929" xr:uid="{00000000-0005-0000-0000-000043030000}"/>
    <cellStyle name="Input 2 3 2 5" xfId="1030" xr:uid="{00000000-0005-0000-0000-000044030000}"/>
    <cellStyle name="Input 2 3 2 6" xfId="1809" xr:uid="{00000000-0005-0000-0000-000045030000}"/>
    <cellStyle name="Input 2 3 3" xfId="381" xr:uid="{00000000-0005-0000-0000-000046030000}"/>
    <cellStyle name="Input 2 3 3 2" xfId="656" xr:uid="{00000000-0005-0000-0000-000047030000}"/>
    <cellStyle name="Input 2 3 3 2 2" xfId="1361" xr:uid="{00000000-0005-0000-0000-000048030000}"/>
    <cellStyle name="Input 2 3 3 2 3" xfId="1822" xr:uid="{00000000-0005-0000-0000-000049030000}"/>
    <cellStyle name="Input 2 3 3 2 4" xfId="2203" xr:uid="{00000000-0005-0000-0000-00004A030000}"/>
    <cellStyle name="Input 2 3 3 3" xfId="1092" xr:uid="{00000000-0005-0000-0000-00004B030000}"/>
    <cellStyle name="Input 2 3 3 4" xfId="1594" xr:uid="{00000000-0005-0000-0000-00004C030000}"/>
    <cellStyle name="Input 2 3 3 5" xfId="1948" xr:uid="{00000000-0005-0000-0000-00004D030000}"/>
    <cellStyle name="Input 2 3 4" xfId="514" xr:uid="{00000000-0005-0000-0000-00004E030000}"/>
    <cellStyle name="Input 2 3 4 2" xfId="1221" xr:uid="{00000000-0005-0000-0000-00004F030000}"/>
    <cellStyle name="Input 2 3 4 3" xfId="1702" xr:uid="{00000000-0005-0000-0000-000050030000}"/>
    <cellStyle name="Input 2 3 4 4" xfId="2068" xr:uid="{00000000-0005-0000-0000-000051030000}"/>
    <cellStyle name="Input 2 3 5" xfId="928" xr:uid="{00000000-0005-0000-0000-000052030000}"/>
    <cellStyle name="Input 2 3 6" xfId="875" xr:uid="{00000000-0005-0000-0000-000053030000}"/>
    <cellStyle name="Input 2 3 7" xfId="1903" xr:uid="{00000000-0005-0000-0000-000054030000}"/>
    <cellStyle name="Input 2 4" xfId="223" xr:uid="{00000000-0005-0000-0000-000055030000}"/>
    <cellStyle name="Input 2 4 2" xfId="224" xr:uid="{00000000-0005-0000-0000-000056030000}"/>
    <cellStyle name="Input 2 4 2 2" xfId="460" xr:uid="{00000000-0005-0000-0000-000057030000}"/>
    <cellStyle name="Input 2 4 2 2 2" xfId="657" xr:uid="{00000000-0005-0000-0000-000058030000}"/>
    <cellStyle name="Input 2 4 2 2 2 2" xfId="1362" xr:uid="{00000000-0005-0000-0000-000059030000}"/>
    <cellStyle name="Input 2 4 2 2 2 3" xfId="1823" xr:uid="{00000000-0005-0000-0000-00005A030000}"/>
    <cellStyle name="Input 2 4 2 2 2 4" xfId="2204" xr:uid="{00000000-0005-0000-0000-00005B030000}"/>
    <cellStyle name="Input 2 4 2 2 3" xfId="1171" xr:uid="{00000000-0005-0000-0000-00005C030000}"/>
    <cellStyle name="Input 2 4 2 2 4" xfId="1655" xr:uid="{00000000-0005-0000-0000-00005D030000}"/>
    <cellStyle name="Input 2 4 2 2 5" xfId="2022" xr:uid="{00000000-0005-0000-0000-00005E030000}"/>
    <cellStyle name="Input 2 4 2 3" xfId="589" xr:uid="{00000000-0005-0000-0000-00005F030000}"/>
    <cellStyle name="Input 2 4 2 3 2" xfId="1295" xr:uid="{00000000-0005-0000-0000-000060030000}"/>
    <cellStyle name="Input 2 4 2 3 3" xfId="1761" xr:uid="{00000000-0005-0000-0000-000061030000}"/>
    <cellStyle name="Input 2 4 2 3 4" xfId="2142" xr:uid="{00000000-0005-0000-0000-000062030000}"/>
    <cellStyle name="Input 2 4 2 4" xfId="931" xr:uid="{00000000-0005-0000-0000-000063030000}"/>
    <cellStyle name="Input 2 4 2 5" xfId="1053" xr:uid="{00000000-0005-0000-0000-000064030000}"/>
    <cellStyle name="Input 2 4 2 6" xfId="1898" xr:uid="{00000000-0005-0000-0000-000065030000}"/>
    <cellStyle name="Input 2 4 3" xfId="382" xr:uid="{00000000-0005-0000-0000-000066030000}"/>
    <cellStyle name="Input 2 4 3 2" xfId="658" xr:uid="{00000000-0005-0000-0000-000067030000}"/>
    <cellStyle name="Input 2 4 3 2 2" xfId="1363" xr:uid="{00000000-0005-0000-0000-000068030000}"/>
    <cellStyle name="Input 2 4 3 2 3" xfId="1824" xr:uid="{00000000-0005-0000-0000-000069030000}"/>
    <cellStyle name="Input 2 4 3 2 4" xfId="2205" xr:uid="{00000000-0005-0000-0000-00006A030000}"/>
    <cellStyle name="Input 2 4 3 3" xfId="1093" xr:uid="{00000000-0005-0000-0000-00006B030000}"/>
    <cellStyle name="Input 2 4 3 4" xfId="1595" xr:uid="{00000000-0005-0000-0000-00006C030000}"/>
    <cellStyle name="Input 2 4 3 5" xfId="1949" xr:uid="{00000000-0005-0000-0000-00006D030000}"/>
    <cellStyle name="Input 2 4 4" xfId="515" xr:uid="{00000000-0005-0000-0000-00006E030000}"/>
    <cellStyle name="Input 2 4 4 2" xfId="1222" xr:uid="{00000000-0005-0000-0000-00006F030000}"/>
    <cellStyle name="Input 2 4 4 3" xfId="1703" xr:uid="{00000000-0005-0000-0000-000070030000}"/>
    <cellStyle name="Input 2 4 4 4" xfId="2069" xr:uid="{00000000-0005-0000-0000-000071030000}"/>
    <cellStyle name="Input 2 4 5" xfId="930" xr:uid="{00000000-0005-0000-0000-000072030000}"/>
    <cellStyle name="Input 2 4 6" xfId="1043" xr:uid="{00000000-0005-0000-0000-000073030000}"/>
    <cellStyle name="Input 2 4 7" xfId="1587" xr:uid="{00000000-0005-0000-0000-000074030000}"/>
    <cellStyle name="Input 2 5" xfId="225" xr:uid="{00000000-0005-0000-0000-000075030000}"/>
    <cellStyle name="Input 2 5 2" xfId="226" xr:uid="{00000000-0005-0000-0000-000076030000}"/>
    <cellStyle name="Input 2 5 2 2" xfId="446" xr:uid="{00000000-0005-0000-0000-000077030000}"/>
    <cellStyle name="Input 2 5 2 2 2" xfId="659" xr:uid="{00000000-0005-0000-0000-000078030000}"/>
    <cellStyle name="Input 2 5 2 2 2 2" xfId="1364" xr:uid="{00000000-0005-0000-0000-000079030000}"/>
    <cellStyle name="Input 2 5 2 2 2 3" xfId="1825" xr:uid="{00000000-0005-0000-0000-00007A030000}"/>
    <cellStyle name="Input 2 5 2 2 2 4" xfId="2206" xr:uid="{00000000-0005-0000-0000-00007B030000}"/>
    <cellStyle name="Input 2 5 2 2 3" xfId="1157" xr:uid="{00000000-0005-0000-0000-00007C030000}"/>
    <cellStyle name="Input 2 5 2 2 4" xfId="1642" xr:uid="{00000000-0005-0000-0000-00007D030000}"/>
    <cellStyle name="Input 2 5 2 2 5" xfId="2008" xr:uid="{00000000-0005-0000-0000-00007E030000}"/>
    <cellStyle name="Input 2 5 2 3" xfId="575" xr:uid="{00000000-0005-0000-0000-00007F030000}"/>
    <cellStyle name="Input 2 5 2 3 2" xfId="1281" xr:uid="{00000000-0005-0000-0000-000080030000}"/>
    <cellStyle name="Input 2 5 2 3 3" xfId="1748" xr:uid="{00000000-0005-0000-0000-000081030000}"/>
    <cellStyle name="Input 2 5 2 3 4" xfId="2128" xr:uid="{00000000-0005-0000-0000-000082030000}"/>
    <cellStyle name="Input 2 5 2 4" xfId="933" xr:uid="{00000000-0005-0000-0000-000083030000}"/>
    <cellStyle name="Input 2 5 2 5" xfId="871" xr:uid="{00000000-0005-0000-0000-000084030000}"/>
    <cellStyle name="Input 2 5 2 6" xfId="1056" xr:uid="{00000000-0005-0000-0000-000085030000}"/>
    <cellStyle name="Input 2 5 3" xfId="383" xr:uid="{00000000-0005-0000-0000-000086030000}"/>
    <cellStyle name="Input 2 5 3 2" xfId="660" xr:uid="{00000000-0005-0000-0000-000087030000}"/>
    <cellStyle name="Input 2 5 3 2 2" xfId="1365" xr:uid="{00000000-0005-0000-0000-000088030000}"/>
    <cellStyle name="Input 2 5 3 2 3" xfId="1826" xr:uid="{00000000-0005-0000-0000-000089030000}"/>
    <cellStyle name="Input 2 5 3 2 4" xfId="2207" xr:uid="{00000000-0005-0000-0000-00008A030000}"/>
    <cellStyle name="Input 2 5 3 3" xfId="1094" xr:uid="{00000000-0005-0000-0000-00008B030000}"/>
    <cellStyle name="Input 2 5 3 4" xfId="1596" xr:uid="{00000000-0005-0000-0000-00008C030000}"/>
    <cellStyle name="Input 2 5 3 5" xfId="1950" xr:uid="{00000000-0005-0000-0000-00008D030000}"/>
    <cellStyle name="Input 2 5 4" xfId="516" xr:uid="{00000000-0005-0000-0000-00008E030000}"/>
    <cellStyle name="Input 2 5 4 2" xfId="1223" xr:uid="{00000000-0005-0000-0000-00008F030000}"/>
    <cellStyle name="Input 2 5 4 3" xfId="1704" xr:uid="{00000000-0005-0000-0000-000090030000}"/>
    <cellStyle name="Input 2 5 4 4" xfId="2070" xr:uid="{00000000-0005-0000-0000-000091030000}"/>
    <cellStyle name="Input 2 5 5" xfId="932" xr:uid="{00000000-0005-0000-0000-000092030000}"/>
    <cellStyle name="Input 2 5 6" xfId="816" xr:uid="{00000000-0005-0000-0000-000093030000}"/>
    <cellStyle name="Input 2 5 7" xfId="1893" xr:uid="{00000000-0005-0000-0000-000094030000}"/>
    <cellStyle name="Input 2 6" xfId="227" xr:uid="{00000000-0005-0000-0000-000095030000}"/>
    <cellStyle name="Input 2 6 2" xfId="228" xr:uid="{00000000-0005-0000-0000-000096030000}"/>
    <cellStyle name="Input 2 6 2 2" xfId="465" xr:uid="{00000000-0005-0000-0000-000097030000}"/>
    <cellStyle name="Input 2 6 2 2 2" xfId="661" xr:uid="{00000000-0005-0000-0000-000098030000}"/>
    <cellStyle name="Input 2 6 2 2 2 2" xfId="1366" xr:uid="{00000000-0005-0000-0000-000099030000}"/>
    <cellStyle name="Input 2 6 2 2 2 3" xfId="1827" xr:uid="{00000000-0005-0000-0000-00009A030000}"/>
    <cellStyle name="Input 2 6 2 2 2 4" xfId="2208" xr:uid="{00000000-0005-0000-0000-00009B030000}"/>
    <cellStyle name="Input 2 6 2 2 3" xfId="1176" xr:uid="{00000000-0005-0000-0000-00009C030000}"/>
    <cellStyle name="Input 2 6 2 2 4" xfId="1659" xr:uid="{00000000-0005-0000-0000-00009D030000}"/>
    <cellStyle name="Input 2 6 2 2 5" xfId="2027" xr:uid="{00000000-0005-0000-0000-00009E030000}"/>
    <cellStyle name="Input 2 6 2 3" xfId="594" xr:uid="{00000000-0005-0000-0000-00009F030000}"/>
    <cellStyle name="Input 2 6 2 3 2" xfId="1300" xr:uid="{00000000-0005-0000-0000-0000A0030000}"/>
    <cellStyle name="Input 2 6 2 3 3" xfId="1765" xr:uid="{00000000-0005-0000-0000-0000A1030000}"/>
    <cellStyle name="Input 2 6 2 3 4" xfId="2147" xr:uid="{00000000-0005-0000-0000-0000A2030000}"/>
    <cellStyle name="Input 2 6 2 4" xfId="935" xr:uid="{00000000-0005-0000-0000-0000A3030000}"/>
    <cellStyle name="Input 2 6 2 5" xfId="1045" xr:uid="{00000000-0005-0000-0000-0000A4030000}"/>
    <cellStyle name="Input 2 6 2 6" xfId="1198" xr:uid="{00000000-0005-0000-0000-0000A5030000}"/>
    <cellStyle name="Input 2 6 3" xfId="384" xr:uid="{00000000-0005-0000-0000-0000A6030000}"/>
    <cellStyle name="Input 2 6 3 2" xfId="662" xr:uid="{00000000-0005-0000-0000-0000A7030000}"/>
    <cellStyle name="Input 2 6 3 2 2" xfId="1367" xr:uid="{00000000-0005-0000-0000-0000A8030000}"/>
    <cellStyle name="Input 2 6 3 2 3" xfId="1828" xr:uid="{00000000-0005-0000-0000-0000A9030000}"/>
    <cellStyle name="Input 2 6 3 2 4" xfId="2209" xr:uid="{00000000-0005-0000-0000-0000AA030000}"/>
    <cellStyle name="Input 2 6 3 3" xfId="1095" xr:uid="{00000000-0005-0000-0000-0000AB030000}"/>
    <cellStyle name="Input 2 6 3 4" xfId="1597" xr:uid="{00000000-0005-0000-0000-0000AC030000}"/>
    <cellStyle name="Input 2 6 3 5" xfId="1951" xr:uid="{00000000-0005-0000-0000-0000AD030000}"/>
    <cellStyle name="Input 2 6 4" xfId="517" xr:uid="{00000000-0005-0000-0000-0000AE030000}"/>
    <cellStyle name="Input 2 6 4 2" xfId="1224" xr:uid="{00000000-0005-0000-0000-0000AF030000}"/>
    <cellStyle name="Input 2 6 4 3" xfId="1705" xr:uid="{00000000-0005-0000-0000-0000B0030000}"/>
    <cellStyle name="Input 2 6 4 4" xfId="2071" xr:uid="{00000000-0005-0000-0000-0000B1030000}"/>
    <cellStyle name="Input 2 6 5" xfId="934" xr:uid="{00000000-0005-0000-0000-0000B2030000}"/>
    <cellStyle name="Input 2 6 6" xfId="1032" xr:uid="{00000000-0005-0000-0000-0000B3030000}"/>
    <cellStyle name="Input 2 6 7" xfId="1046" xr:uid="{00000000-0005-0000-0000-0000B4030000}"/>
    <cellStyle name="Input 2 7" xfId="229" xr:uid="{00000000-0005-0000-0000-0000B5030000}"/>
    <cellStyle name="Input 2 7 2" xfId="230" xr:uid="{00000000-0005-0000-0000-0000B6030000}"/>
    <cellStyle name="Input 2 7 2 2" xfId="443" xr:uid="{00000000-0005-0000-0000-0000B7030000}"/>
    <cellStyle name="Input 2 7 2 2 2" xfId="663" xr:uid="{00000000-0005-0000-0000-0000B8030000}"/>
    <cellStyle name="Input 2 7 2 2 2 2" xfId="1368" xr:uid="{00000000-0005-0000-0000-0000B9030000}"/>
    <cellStyle name="Input 2 7 2 2 2 3" xfId="1829" xr:uid="{00000000-0005-0000-0000-0000BA030000}"/>
    <cellStyle name="Input 2 7 2 2 2 4" xfId="2210" xr:uid="{00000000-0005-0000-0000-0000BB030000}"/>
    <cellStyle name="Input 2 7 2 2 3" xfId="1154" xr:uid="{00000000-0005-0000-0000-0000BC030000}"/>
    <cellStyle name="Input 2 7 2 2 4" xfId="1640" xr:uid="{00000000-0005-0000-0000-0000BD030000}"/>
    <cellStyle name="Input 2 7 2 2 5" xfId="2005" xr:uid="{00000000-0005-0000-0000-0000BE030000}"/>
    <cellStyle name="Input 2 7 2 3" xfId="572" xr:uid="{00000000-0005-0000-0000-0000BF030000}"/>
    <cellStyle name="Input 2 7 2 3 2" xfId="1278" xr:uid="{00000000-0005-0000-0000-0000C0030000}"/>
    <cellStyle name="Input 2 7 2 3 3" xfId="1746" xr:uid="{00000000-0005-0000-0000-0000C1030000}"/>
    <cellStyle name="Input 2 7 2 3 4" xfId="2125" xr:uid="{00000000-0005-0000-0000-0000C2030000}"/>
    <cellStyle name="Input 2 7 2 4" xfId="937" xr:uid="{00000000-0005-0000-0000-0000C3030000}"/>
    <cellStyle name="Input 2 7 2 5" xfId="815" xr:uid="{00000000-0005-0000-0000-0000C4030000}"/>
    <cellStyle name="Input 2 7 2 6" xfId="833" xr:uid="{00000000-0005-0000-0000-0000C5030000}"/>
    <cellStyle name="Input 2 7 3" xfId="385" xr:uid="{00000000-0005-0000-0000-0000C6030000}"/>
    <cellStyle name="Input 2 7 3 2" xfId="664" xr:uid="{00000000-0005-0000-0000-0000C7030000}"/>
    <cellStyle name="Input 2 7 3 2 2" xfId="1369" xr:uid="{00000000-0005-0000-0000-0000C8030000}"/>
    <cellStyle name="Input 2 7 3 2 3" xfId="1830" xr:uid="{00000000-0005-0000-0000-0000C9030000}"/>
    <cellStyle name="Input 2 7 3 2 4" xfId="2211" xr:uid="{00000000-0005-0000-0000-0000CA030000}"/>
    <cellStyle name="Input 2 7 3 3" xfId="1096" xr:uid="{00000000-0005-0000-0000-0000CB030000}"/>
    <cellStyle name="Input 2 7 3 4" xfId="1598" xr:uid="{00000000-0005-0000-0000-0000CC030000}"/>
    <cellStyle name="Input 2 7 3 5" xfId="1952" xr:uid="{00000000-0005-0000-0000-0000CD030000}"/>
    <cellStyle name="Input 2 7 4" xfId="518" xr:uid="{00000000-0005-0000-0000-0000CE030000}"/>
    <cellStyle name="Input 2 7 4 2" xfId="1225" xr:uid="{00000000-0005-0000-0000-0000CF030000}"/>
    <cellStyle name="Input 2 7 4 3" xfId="1706" xr:uid="{00000000-0005-0000-0000-0000D0030000}"/>
    <cellStyle name="Input 2 7 4 4" xfId="2072" xr:uid="{00000000-0005-0000-0000-0000D1030000}"/>
    <cellStyle name="Input 2 7 5" xfId="936" xr:uid="{00000000-0005-0000-0000-0000D2030000}"/>
    <cellStyle name="Input 2 7 6" xfId="1055" xr:uid="{00000000-0005-0000-0000-0000D3030000}"/>
    <cellStyle name="Input 2 7 7" xfId="1139" xr:uid="{00000000-0005-0000-0000-0000D4030000}"/>
    <cellStyle name="Input 2 8" xfId="231" xr:uid="{00000000-0005-0000-0000-0000D5030000}"/>
    <cellStyle name="Input 2 8 2" xfId="232" xr:uid="{00000000-0005-0000-0000-0000D6030000}"/>
    <cellStyle name="Input 2 8 2 2" xfId="456" xr:uid="{00000000-0005-0000-0000-0000D7030000}"/>
    <cellStyle name="Input 2 8 2 2 2" xfId="665" xr:uid="{00000000-0005-0000-0000-0000D8030000}"/>
    <cellStyle name="Input 2 8 2 2 2 2" xfId="1370" xr:uid="{00000000-0005-0000-0000-0000D9030000}"/>
    <cellStyle name="Input 2 8 2 2 2 3" xfId="1831" xr:uid="{00000000-0005-0000-0000-0000DA030000}"/>
    <cellStyle name="Input 2 8 2 2 2 4" xfId="2212" xr:uid="{00000000-0005-0000-0000-0000DB030000}"/>
    <cellStyle name="Input 2 8 2 2 3" xfId="1167" xr:uid="{00000000-0005-0000-0000-0000DC030000}"/>
    <cellStyle name="Input 2 8 2 2 4" xfId="1651" xr:uid="{00000000-0005-0000-0000-0000DD030000}"/>
    <cellStyle name="Input 2 8 2 2 5" xfId="2018" xr:uid="{00000000-0005-0000-0000-0000DE030000}"/>
    <cellStyle name="Input 2 8 2 3" xfId="585" xr:uid="{00000000-0005-0000-0000-0000DF030000}"/>
    <cellStyle name="Input 2 8 2 3 2" xfId="1291" xr:uid="{00000000-0005-0000-0000-0000E0030000}"/>
    <cellStyle name="Input 2 8 2 3 3" xfId="1757" xr:uid="{00000000-0005-0000-0000-0000E1030000}"/>
    <cellStyle name="Input 2 8 2 3 4" xfId="2138" xr:uid="{00000000-0005-0000-0000-0000E2030000}"/>
    <cellStyle name="Input 2 8 2 4" xfId="939" xr:uid="{00000000-0005-0000-0000-0000E3030000}"/>
    <cellStyle name="Input 2 8 2 5" xfId="1033" xr:uid="{00000000-0005-0000-0000-0000E4030000}"/>
    <cellStyle name="Input 2 8 2 6" xfId="1734" xr:uid="{00000000-0005-0000-0000-0000E5030000}"/>
    <cellStyle name="Input 2 8 3" xfId="386" xr:uid="{00000000-0005-0000-0000-0000E6030000}"/>
    <cellStyle name="Input 2 8 3 2" xfId="666" xr:uid="{00000000-0005-0000-0000-0000E7030000}"/>
    <cellStyle name="Input 2 8 3 2 2" xfId="1371" xr:uid="{00000000-0005-0000-0000-0000E8030000}"/>
    <cellStyle name="Input 2 8 3 2 3" xfId="1832" xr:uid="{00000000-0005-0000-0000-0000E9030000}"/>
    <cellStyle name="Input 2 8 3 2 4" xfId="2213" xr:uid="{00000000-0005-0000-0000-0000EA030000}"/>
    <cellStyle name="Input 2 8 3 3" xfId="1097" xr:uid="{00000000-0005-0000-0000-0000EB030000}"/>
    <cellStyle name="Input 2 8 3 4" xfId="1599" xr:uid="{00000000-0005-0000-0000-0000EC030000}"/>
    <cellStyle name="Input 2 8 3 5" xfId="1953" xr:uid="{00000000-0005-0000-0000-0000ED030000}"/>
    <cellStyle name="Input 2 8 4" xfId="519" xr:uid="{00000000-0005-0000-0000-0000EE030000}"/>
    <cellStyle name="Input 2 8 4 2" xfId="1226" xr:uid="{00000000-0005-0000-0000-0000EF030000}"/>
    <cellStyle name="Input 2 8 4 3" xfId="1707" xr:uid="{00000000-0005-0000-0000-0000F0030000}"/>
    <cellStyle name="Input 2 8 4 4" xfId="2073" xr:uid="{00000000-0005-0000-0000-0000F1030000}"/>
    <cellStyle name="Input 2 8 5" xfId="938" xr:uid="{00000000-0005-0000-0000-0000F2030000}"/>
    <cellStyle name="Input 2 8 6" xfId="867" xr:uid="{00000000-0005-0000-0000-0000F3030000}"/>
    <cellStyle name="Input 2 8 7" xfId="1682" xr:uid="{00000000-0005-0000-0000-0000F4030000}"/>
    <cellStyle name="Input 2 9" xfId="233" xr:uid="{00000000-0005-0000-0000-0000F5030000}"/>
    <cellStyle name="Input 2 9 2" xfId="234" xr:uid="{00000000-0005-0000-0000-0000F6030000}"/>
    <cellStyle name="Input 2 9 2 2" xfId="480" xr:uid="{00000000-0005-0000-0000-0000F7030000}"/>
    <cellStyle name="Input 2 9 2 2 2" xfId="667" xr:uid="{00000000-0005-0000-0000-0000F8030000}"/>
    <cellStyle name="Input 2 9 2 2 2 2" xfId="1372" xr:uid="{00000000-0005-0000-0000-0000F9030000}"/>
    <cellStyle name="Input 2 9 2 2 2 3" xfId="1833" xr:uid="{00000000-0005-0000-0000-0000FA030000}"/>
    <cellStyle name="Input 2 9 2 2 2 4" xfId="2214" xr:uid="{00000000-0005-0000-0000-0000FB030000}"/>
    <cellStyle name="Input 2 9 2 2 3" xfId="1191" xr:uid="{00000000-0005-0000-0000-0000FC030000}"/>
    <cellStyle name="Input 2 9 2 2 4" xfId="1670" xr:uid="{00000000-0005-0000-0000-0000FD030000}"/>
    <cellStyle name="Input 2 9 2 2 5" xfId="2042" xr:uid="{00000000-0005-0000-0000-0000FE030000}"/>
    <cellStyle name="Input 2 9 2 3" xfId="609" xr:uid="{00000000-0005-0000-0000-0000FF030000}"/>
    <cellStyle name="Input 2 9 2 3 2" xfId="1315" xr:uid="{00000000-0005-0000-0000-000000040000}"/>
    <cellStyle name="Input 2 9 2 3 3" xfId="1776" xr:uid="{00000000-0005-0000-0000-000001040000}"/>
    <cellStyle name="Input 2 9 2 3 4" xfId="2162" xr:uid="{00000000-0005-0000-0000-000002040000}"/>
    <cellStyle name="Input 2 9 2 4" xfId="941" xr:uid="{00000000-0005-0000-0000-000003040000}"/>
    <cellStyle name="Input 2 9 2 5" xfId="1057" xr:uid="{00000000-0005-0000-0000-000004040000}"/>
    <cellStyle name="Input 2 9 2 6" xfId="1628" xr:uid="{00000000-0005-0000-0000-000005040000}"/>
    <cellStyle name="Input 2 9 3" xfId="387" xr:uid="{00000000-0005-0000-0000-000006040000}"/>
    <cellStyle name="Input 2 9 3 2" xfId="668" xr:uid="{00000000-0005-0000-0000-000007040000}"/>
    <cellStyle name="Input 2 9 3 2 2" xfId="1373" xr:uid="{00000000-0005-0000-0000-000008040000}"/>
    <cellStyle name="Input 2 9 3 2 3" xfId="1834" xr:uid="{00000000-0005-0000-0000-000009040000}"/>
    <cellStyle name="Input 2 9 3 2 4" xfId="2215" xr:uid="{00000000-0005-0000-0000-00000A040000}"/>
    <cellStyle name="Input 2 9 3 3" xfId="1098" xr:uid="{00000000-0005-0000-0000-00000B040000}"/>
    <cellStyle name="Input 2 9 3 4" xfId="1600" xr:uid="{00000000-0005-0000-0000-00000C040000}"/>
    <cellStyle name="Input 2 9 3 5" xfId="1954" xr:uid="{00000000-0005-0000-0000-00000D040000}"/>
    <cellStyle name="Input 2 9 4" xfId="520" xr:uid="{00000000-0005-0000-0000-00000E040000}"/>
    <cellStyle name="Input 2 9 4 2" xfId="1227" xr:uid="{00000000-0005-0000-0000-00000F040000}"/>
    <cellStyle name="Input 2 9 4 3" xfId="1708" xr:uid="{00000000-0005-0000-0000-000010040000}"/>
    <cellStyle name="Input 2 9 4 4" xfId="2074" xr:uid="{00000000-0005-0000-0000-000011040000}"/>
    <cellStyle name="Input 2 9 5" xfId="940" xr:uid="{00000000-0005-0000-0000-000012040000}"/>
    <cellStyle name="Input 2 9 6" xfId="1047" xr:uid="{00000000-0005-0000-0000-000013040000}"/>
    <cellStyle name="Input 2 9 7" xfId="1808" xr:uid="{00000000-0005-0000-0000-000014040000}"/>
    <cellStyle name="Linked Cell" xfId="90" builtinId="24" customBuiltin="1"/>
    <cellStyle name="Linked Cell 2" xfId="158" xr:uid="{00000000-0005-0000-0000-000016040000}"/>
    <cellStyle name="Neutral" xfId="86" builtinId="28" customBuiltin="1"/>
    <cellStyle name="Neutral 2" xfId="159" xr:uid="{00000000-0005-0000-0000-000018040000}"/>
    <cellStyle name="Nor_x0019_·l_Industrial Vacancy Oxnard" xfId="235" xr:uid="{00000000-0005-0000-0000-000019040000}"/>
    <cellStyle name="Normal" xfId="0" builtinId="0"/>
    <cellStyle name="Normal 10" xfId="56" xr:uid="{00000000-0005-0000-0000-00001B040000}"/>
    <cellStyle name="Normal 10 2" xfId="335" xr:uid="{00000000-0005-0000-0000-00001C040000}"/>
    <cellStyle name="Normal 10 3" xfId="236" xr:uid="{00000000-0005-0000-0000-00001D040000}"/>
    <cellStyle name="Normal 11" xfId="57" xr:uid="{00000000-0005-0000-0000-00001E040000}"/>
    <cellStyle name="Normal 12" xfId="58" xr:uid="{00000000-0005-0000-0000-00001F040000}"/>
    <cellStyle name="Normal 13" xfId="59" xr:uid="{00000000-0005-0000-0000-000020040000}"/>
    <cellStyle name="Normal 13 2" xfId="492" xr:uid="{00000000-0005-0000-0000-000021040000}"/>
    <cellStyle name="Normal 2" xfId="2" xr:uid="{00000000-0005-0000-0000-000022040000}"/>
    <cellStyle name="Normal 2 2" xfId="9" xr:uid="{00000000-0005-0000-0000-000023040000}"/>
    <cellStyle name="Normal 2 2 2" xfId="781" xr:uid="{00000000-0005-0000-0000-000024040000}"/>
    <cellStyle name="Normal 2 2_ICLEI Master Data Workbook final draft review" xfId="782" xr:uid="{00000000-0005-0000-0000-000025040000}"/>
    <cellStyle name="Normal 2 3" xfId="13" xr:uid="{00000000-0005-0000-0000-000026040000}"/>
    <cellStyle name="Normal 2 3 2" xfId="490" xr:uid="{00000000-0005-0000-0000-000027040000}"/>
    <cellStyle name="Normal 2 3 3" xfId="160" xr:uid="{00000000-0005-0000-0000-000028040000}"/>
    <cellStyle name="Normal 2_Inventory Data Checklist" xfId="783" xr:uid="{00000000-0005-0000-0000-000029040000}"/>
    <cellStyle name="Normal 3" xfId="1" xr:uid="{00000000-0005-0000-0000-00002A040000}"/>
    <cellStyle name="Normal 3 2" xfId="60" xr:uid="{00000000-0005-0000-0000-00002B040000}"/>
    <cellStyle name="Normal 3 2 2" xfId="61" xr:uid="{00000000-0005-0000-0000-00002C040000}"/>
    <cellStyle name="Normal 3 2 3" xfId="62" xr:uid="{00000000-0005-0000-0000-00002D040000}"/>
    <cellStyle name="Normal 3 3" xfId="14" xr:uid="{00000000-0005-0000-0000-00002E040000}"/>
    <cellStyle name="Normal 4" xfId="7" xr:uid="{00000000-0005-0000-0000-00002F040000}"/>
    <cellStyle name="Normal 4 2" xfId="10" xr:uid="{00000000-0005-0000-0000-000030040000}"/>
    <cellStyle name="Normal 4 2 2" xfId="63" xr:uid="{00000000-0005-0000-0000-000031040000}"/>
    <cellStyle name="Normal 4 2 3" xfId="488" xr:uid="{00000000-0005-0000-0000-000032040000}"/>
    <cellStyle name="Normal 4 3" xfId="64" xr:uid="{00000000-0005-0000-0000-000033040000}"/>
    <cellStyle name="Normal 4 4" xfId="65" xr:uid="{00000000-0005-0000-0000-000034040000}"/>
    <cellStyle name="Normal 4 5" xfId="66" xr:uid="{00000000-0005-0000-0000-000035040000}"/>
    <cellStyle name="Normal 4 6" xfId="486" xr:uid="{00000000-0005-0000-0000-000036040000}"/>
    <cellStyle name="Normal 4 7" xfId="944" xr:uid="{00000000-0005-0000-0000-000037040000}"/>
    <cellStyle name="Normal 4 8" xfId="237" xr:uid="{00000000-0005-0000-0000-000038040000}"/>
    <cellStyle name="Normal 5" xfId="8" xr:uid="{00000000-0005-0000-0000-000039040000}"/>
    <cellStyle name="Normal 5 2" xfId="67" xr:uid="{00000000-0005-0000-0000-00003A040000}"/>
    <cellStyle name="Normal 5 3" xfId="68" xr:uid="{00000000-0005-0000-0000-00003B040000}"/>
    <cellStyle name="Normal 5 4" xfId="487" xr:uid="{00000000-0005-0000-0000-00003C040000}"/>
    <cellStyle name="Normal 5 5" xfId="238" xr:uid="{00000000-0005-0000-0000-00003D040000}"/>
    <cellStyle name="Normal 6" xfId="69" xr:uid="{00000000-0005-0000-0000-00003E040000}"/>
    <cellStyle name="Normal 6 2" xfId="350" xr:uid="{00000000-0005-0000-0000-00003F040000}"/>
    <cellStyle name="Normal 6 3" xfId="239" xr:uid="{00000000-0005-0000-0000-000040040000}"/>
    <cellStyle name="Normal 7" xfId="70" xr:uid="{00000000-0005-0000-0000-000041040000}"/>
    <cellStyle name="Normal 7 2" xfId="337" xr:uid="{00000000-0005-0000-0000-000042040000}"/>
    <cellStyle name="Normal 7 3" xfId="240" xr:uid="{00000000-0005-0000-0000-000043040000}"/>
    <cellStyle name="Normal 8" xfId="71" xr:uid="{00000000-0005-0000-0000-000044040000}"/>
    <cellStyle name="Normal 8 2" xfId="336" xr:uid="{00000000-0005-0000-0000-000045040000}"/>
    <cellStyle name="Normal 8 3" xfId="241" xr:uid="{00000000-0005-0000-0000-000046040000}"/>
    <cellStyle name="Normal 9" xfId="72" xr:uid="{00000000-0005-0000-0000-000047040000}"/>
    <cellStyle name="Note 2" xfId="73" xr:uid="{00000000-0005-0000-0000-000048040000}"/>
    <cellStyle name="Note 2 10" xfId="242" xr:uid="{00000000-0005-0000-0000-000049040000}"/>
    <cellStyle name="Note 2 10 2" xfId="243" xr:uid="{00000000-0005-0000-0000-00004A040000}"/>
    <cellStyle name="Note 2 10 2 2" xfId="481" xr:uid="{00000000-0005-0000-0000-00004B040000}"/>
    <cellStyle name="Note 2 10 2 2 2" xfId="669" xr:uid="{00000000-0005-0000-0000-00004C040000}"/>
    <cellStyle name="Note 2 10 2 2 2 2" xfId="1374" xr:uid="{00000000-0005-0000-0000-00004D040000}"/>
    <cellStyle name="Note 2 10 2 2 2 3" xfId="1835" xr:uid="{00000000-0005-0000-0000-00004E040000}"/>
    <cellStyle name="Note 2 10 2 2 2 4" xfId="2216" xr:uid="{00000000-0005-0000-0000-00004F040000}"/>
    <cellStyle name="Note 2 10 2 2 3" xfId="1192" xr:uid="{00000000-0005-0000-0000-000050040000}"/>
    <cellStyle name="Note 2 10 2 2 4" xfId="1671" xr:uid="{00000000-0005-0000-0000-000051040000}"/>
    <cellStyle name="Note 2 10 2 2 5" xfId="2043" xr:uid="{00000000-0005-0000-0000-000052040000}"/>
    <cellStyle name="Note 2 10 2 3" xfId="610" xr:uid="{00000000-0005-0000-0000-000053040000}"/>
    <cellStyle name="Note 2 10 2 3 2" xfId="1316" xr:uid="{00000000-0005-0000-0000-000054040000}"/>
    <cellStyle name="Note 2 10 2 3 3" xfId="1777" xr:uid="{00000000-0005-0000-0000-000055040000}"/>
    <cellStyle name="Note 2 10 2 3 4" xfId="2163" xr:uid="{00000000-0005-0000-0000-000056040000}"/>
    <cellStyle name="Note 2 10 2 4" xfId="950" xr:uid="{00000000-0005-0000-0000-000057040000}"/>
    <cellStyle name="Note 2 10 2 5" xfId="814" xr:uid="{00000000-0005-0000-0000-000058040000}"/>
    <cellStyle name="Note 2 10 2 6" xfId="837" xr:uid="{00000000-0005-0000-0000-000059040000}"/>
    <cellStyle name="Note 2 10 3" xfId="388" xr:uid="{00000000-0005-0000-0000-00005A040000}"/>
    <cellStyle name="Note 2 10 3 2" xfId="670" xr:uid="{00000000-0005-0000-0000-00005B040000}"/>
    <cellStyle name="Note 2 10 3 2 2" xfId="1375" xr:uid="{00000000-0005-0000-0000-00005C040000}"/>
    <cellStyle name="Note 2 10 3 2 3" xfId="1836" xr:uid="{00000000-0005-0000-0000-00005D040000}"/>
    <cellStyle name="Note 2 10 3 2 4" xfId="2217" xr:uid="{00000000-0005-0000-0000-00005E040000}"/>
    <cellStyle name="Note 2 10 3 3" xfId="1099" xr:uid="{00000000-0005-0000-0000-00005F040000}"/>
    <cellStyle name="Note 2 10 3 4" xfId="1601" xr:uid="{00000000-0005-0000-0000-000060040000}"/>
    <cellStyle name="Note 2 10 3 5" xfId="1955" xr:uid="{00000000-0005-0000-0000-000061040000}"/>
    <cellStyle name="Note 2 10 4" xfId="521" xr:uid="{00000000-0005-0000-0000-000062040000}"/>
    <cellStyle name="Note 2 10 4 2" xfId="1228" xr:uid="{00000000-0005-0000-0000-000063040000}"/>
    <cellStyle name="Note 2 10 4 3" xfId="1709" xr:uid="{00000000-0005-0000-0000-000064040000}"/>
    <cellStyle name="Note 2 10 4 4" xfId="2075" xr:uid="{00000000-0005-0000-0000-000065040000}"/>
    <cellStyle name="Note 2 10 5" xfId="949" xr:uid="{00000000-0005-0000-0000-000066040000}"/>
    <cellStyle name="Note 2 10 6" xfId="1059" xr:uid="{00000000-0005-0000-0000-000067040000}"/>
    <cellStyle name="Note 2 10 7" xfId="1062" xr:uid="{00000000-0005-0000-0000-000068040000}"/>
    <cellStyle name="Note 2 11" xfId="244" xr:uid="{00000000-0005-0000-0000-000069040000}"/>
    <cellStyle name="Note 2 11 2" xfId="245" xr:uid="{00000000-0005-0000-0000-00006A040000}"/>
    <cellStyle name="Note 2 11 2 2" xfId="462" xr:uid="{00000000-0005-0000-0000-00006B040000}"/>
    <cellStyle name="Note 2 11 2 2 2" xfId="671" xr:uid="{00000000-0005-0000-0000-00006C040000}"/>
    <cellStyle name="Note 2 11 2 2 2 2" xfId="1376" xr:uid="{00000000-0005-0000-0000-00006D040000}"/>
    <cellStyle name="Note 2 11 2 2 2 3" xfId="1837" xr:uid="{00000000-0005-0000-0000-00006E040000}"/>
    <cellStyle name="Note 2 11 2 2 2 4" xfId="2218" xr:uid="{00000000-0005-0000-0000-00006F040000}"/>
    <cellStyle name="Note 2 11 2 2 3" xfId="1173" xr:uid="{00000000-0005-0000-0000-000070040000}"/>
    <cellStyle name="Note 2 11 2 2 4" xfId="1657" xr:uid="{00000000-0005-0000-0000-000071040000}"/>
    <cellStyle name="Note 2 11 2 2 5" xfId="2024" xr:uid="{00000000-0005-0000-0000-000072040000}"/>
    <cellStyle name="Note 2 11 2 3" xfId="591" xr:uid="{00000000-0005-0000-0000-000073040000}"/>
    <cellStyle name="Note 2 11 2 3 2" xfId="1297" xr:uid="{00000000-0005-0000-0000-000074040000}"/>
    <cellStyle name="Note 2 11 2 3 3" xfId="1763" xr:uid="{00000000-0005-0000-0000-000075040000}"/>
    <cellStyle name="Note 2 11 2 3 4" xfId="2144" xr:uid="{00000000-0005-0000-0000-000076040000}"/>
    <cellStyle name="Note 2 11 2 4" xfId="952" xr:uid="{00000000-0005-0000-0000-000077040000}"/>
    <cellStyle name="Note 2 11 2 5" xfId="1505" xr:uid="{00000000-0005-0000-0000-000078040000}"/>
    <cellStyle name="Note 2 11 2 6" xfId="1902" xr:uid="{00000000-0005-0000-0000-000079040000}"/>
    <cellStyle name="Note 2 11 3" xfId="389" xr:uid="{00000000-0005-0000-0000-00007A040000}"/>
    <cellStyle name="Note 2 11 3 2" xfId="672" xr:uid="{00000000-0005-0000-0000-00007B040000}"/>
    <cellStyle name="Note 2 11 3 2 2" xfId="1377" xr:uid="{00000000-0005-0000-0000-00007C040000}"/>
    <cellStyle name="Note 2 11 3 2 3" xfId="1838" xr:uid="{00000000-0005-0000-0000-00007D040000}"/>
    <cellStyle name="Note 2 11 3 2 4" xfId="2219" xr:uid="{00000000-0005-0000-0000-00007E040000}"/>
    <cellStyle name="Note 2 11 3 3" xfId="1100" xr:uid="{00000000-0005-0000-0000-00007F040000}"/>
    <cellStyle name="Note 2 11 3 4" xfId="1602" xr:uid="{00000000-0005-0000-0000-000080040000}"/>
    <cellStyle name="Note 2 11 3 5" xfId="1956" xr:uid="{00000000-0005-0000-0000-000081040000}"/>
    <cellStyle name="Note 2 11 4" xfId="522" xr:uid="{00000000-0005-0000-0000-000082040000}"/>
    <cellStyle name="Note 2 11 4 2" xfId="1229" xr:uid="{00000000-0005-0000-0000-000083040000}"/>
    <cellStyle name="Note 2 11 4 3" xfId="1710" xr:uid="{00000000-0005-0000-0000-000084040000}"/>
    <cellStyle name="Note 2 11 4 4" xfId="2076" xr:uid="{00000000-0005-0000-0000-000085040000}"/>
    <cellStyle name="Note 2 11 5" xfId="951" xr:uid="{00000000-0005-0000-0000-000086040000}"/>
    <cellStyle name="Note 2 11 6" xfId="858" xr:uid="{00000000-0005-0000-0000-000087040000}"/>
    <cellStyle name="Note 2 11 7" xfId="1888" xr:uid="{00000000-0005-0000-0000-000088040000}"/>
    <cellStyle name="Note 2 12" xfId="246" xr:uid="{00000000-0005-0000-0000-000089040000}"/>
    <cellStyle name="Note 2 12 2" xfId="247" xr:uid="{00000000-0005-0000-0000-00008A040000}"/>
    <cellStyle name="Note 2 12 2 2" xfId="468" xr:uid="{00000000-0005-0000-0000-00008B040000}"/>
    <cellStyle name="Note 2 12 2 2 2" xfId="673" xr:uid="{00000000-0005-0000-0000-00008C040000}"/>
    <cellStyle name="Note 2 12 2 2 2 2" xfId="1378" xr:uid="{00000000-0005-0000-0000-00008D040000}"/>
    <cellStyle name="Note 2 12 2 2 2 3" xfId="1839" xr:uid="{00000000-0005-0000-0000-00008E040000}"/>
    <cellStyle name="Note 2 12 2 2 2 4" xfId="2220" xr:uid="{00000000-0005-0000-0000-00008F040000}"/>
    <cellStyle name="Note 2 12 2 2 3" xfId="1179" xr:uid="{00000000-0005-0000-0000-000090040000}"/>
    <cellStyle name="Note 2 12 2 2 4" xfId="1661" xr:uid="{00000000-0005-0000-0000-000091040000}"/>
    <cellStyle name="Note 2 12 2 2 5" xfId="2030" xr:uid="{00000000-0005-0000-0000-000092040000}"/>
    <cellStyle name="Note 2 12 2 3" xfId="597" xr:uid="{00000000-0005-0000-0000-000093040000}"/>
    <cellStyle name="Note 2 12 2 3 2" xfId="1303" xr:uid="{00000000-0005-0000-0000-000094040000}"/>
    <cellStyle name="Note 2 12 2 3 3" xfId="1767" xr:uid="{00000000-0005-0000-0000-000095040000}"/>
    <cellStyle name="Note 2 12 2 3 4" xfId="2150" xr:uid="{00000000-0005-0000-0000-000096040000}"/>
    <cellStyle name="Note 2 12 2 4" xfId="954" xr:uid="{00000000-0005-0000-0000-000097040000}"/>
    <cellStyle name="Note 2 12 2 5" xfId="1507" xr:uid="{00000000-0005-0000-0000-000098040000}"/>
    <cellStyle name="Note 2 12 2 6" xfId="1586" xr:uid="{00000000-0005-0000-0000-000099040000}"/>
    <cellStyle name="Note 2 12 3" xfId="390" xr:uid="{00000000-0005-0000-0000-00009A040000}"/>
    <cellStyle name="Note 2 12 3 2" xfId="674" xr:uid="{00000000-0005-0000-0000-00009B040000}"/>
    <cellStyle name="Note 2 12 3 2 2" xfId="1379" xr:uid="{00000000-0005-0000-0000-00009C040000}"/>
    <cellStyle name="Note 2 12 3 2 3" xfId="1840" xr:uid="{00000000-0005-0000-0000-00009D040000}"/>
    <cellStyle name="Note 2 12 3 2 4" xfId="2221" xr:uid="{00000000-0005-0000-0000-00009E040000}"/>
    <cellStyle name="Note 2 12 3 3" xfId="1101" xr:uid="{00000000-0005-0000-0000-00009F040000}"/>
    <cellStyle name="Note 2 12 3 4" xfId="1603" xr:uid="{00000000-0005-0000-0000-0000A0040000}"/>
    <cellStyle name="Note 2 12 3 5" xfId="1957" xr:uid="{00000000-0005-0000-0000-0000A1040000}"/>
    <cellStyle name="Note 2 12 4" xfId="523" xr:uid="{00000000-0005-0000-0000-0000A2040000}"/>
    <cellStyle name="Note 2 12 4 2" xfId="1230" xr:uid="{00000000-0005-0000-0000-0000A3040000}"/>
    <cellStyle name="Note 2 12 4 3" xfId="1711" xr:uid="{00000000-0005-0000-0000-0000A4040000}"/>
    <cellStyle name="Note 2 12 4 4" xfId="2077" xr:uid="{00000000-0005-0000-0000-0000A5040000}"/>
    <cellStyle name="Note 2 12 5" xfId="953" xr:uid="{00000000-0005-0000-0000-0000A6040000}"/>
    <cellStyle name="Note 2 12 6" xfId="1506" xr:uid="{00000000-0005-0000-0000-0000A7040000}"/>
    <cellStyle name="Note 2 12 7" xfId="1807" xr:uid="{00000000-0005-0000-0000-0000A8040000}"/>
    <cellStyle name="Note 2 13" xfId="248" xr:uid="{00000000-0005-0000-0000-0000A9040000}"/>
    <cellStyle name="Note 2 13 2" xfId="432" xr:uid="{00000000-0005-0000-0000-0000AA040000}"/>
    <cellStyle name="Note 2 13 2 2" xfId="675" xr:uid="{00000000-0005-0000-0000-0000AB040000}"/>
    <cellStyle name="Note 2 13 2 2 2" xfId="1380" xr:uid="{00000000-0005-0000-0000-0000AC040000}"/>
    <cellStyle name="Note 2 13 2 2 3" xfId="1841" xr:uid="{00000000-0005-0000-0000-0000AD040000}"/>
    <cellStyle name="Note 2 13 2 2 4" xfId="2222" xr:uid="{00000000-0005-0000-0000-0000AE040000}"/>
    <cellStyle name="Note 2 13 2 3" xfId="1143" xr:uid="{00000000-0005-0000-0000-0000AF040000}"/>
    <cellStyle name="Note 2 13 2 4" xfId="1632" xr:uid="{00000000-0005-0000-0000-0000B0040000}"/>
    <cellStyle name="Note 2 13 2 5" xfId="1994" xr:uid="{00000000-0005-0000-0000-0000B1040000}"/>
    <cellStyle name="Note 2 13 3" xfId="561" xr:uid="{00000000-0005-0000-0000-0000B2040000}"/>
    <cellStyle name="Note 2 13 3 2" xfId="1267" xr:uid="{00000000-0005-0000-0000-0000B3040000}"/>
    <cellStyle name="Note 2 13 3 3" xfId="1738" xr:uid="{00000000-0005-0000-0000-0000B4040000}"/>
    <cellStyle name="Note 2 13 3 4" xfId="2114" xr:uid="{00000000-0005-0000-0000-0000B5040000}"/>
    <cellStyle name="Note 2 13 4" xfId="955" xr:uid="{00000000-0005-0000-0000-0000B6040000}"/>
    <cellStyle name="Note 2 13 5" xfId="1508" xr:uid="{00000000-0005-0000-0000-0000B7040000}"/>
    <cellStyle name="Note 2 13 6" xfId="1897" xr:uid="{00000000-0005-0000-0000-0000B8040000}"/>
    <cellStyle name="Note 2 14" xfId="357" xr:uid="{00000000-0005-0000-0000-0000B9040000}"/>
    <cellStyle name="Note 2 14 2" xfId="676" xr:uid="{00000000-0005-0000-0000-0000BA040000}"/>
    <cellStyle name="Note 2 14 2 2" xfId="1381" xr:uid="{00000000-0005-0000-0000-0000BB040000}"/>
    <cellStyle name="Note 2 14 2 3" xfId="1842" xr:uid="{00000000-0005-0000-0000-0000BC040000}"/>
    <cellStyle name="Note 2 14 2 4" xfId="2223" xr:uid="{00000000-0005-0000-0000-0000BD040000}"/>
    <cellStyle name="Note 2 14 3" xfId="1068" xr:uid="{00000000-0005-0000-0000-0000BE040000}"/>
    <cellStyle name="Note 2 14 4" xfId="1571" xr:uid="{00000000-0005-0000-0000-0000BF040000}"/>
    <cellStyle name="Note 2 14 5" xfId="1930" xr:uid="{00000000-0005-0000-0000-0000C0040000}"/>
    <cellStyle name="Note 2 15" xfId="351" xr:uid="{00000000-0005-0000-0000-0000C1040000}"/>
    <cellStyle name="Note 2 16" xfId="496" xr:uid="{00000000-0005-0000-0000-0000C2040000}"/>
    <cellStyle name="Note 2 16 2" xfId="1203" xr:uid="{00000000-0005-0000-0000-0000C3040000}"/>
    <cellStyle name="Note 2 16 3" xfId="1684" xr:uid="{00000000-0005-0000-0000-0000C4040000}"/>
    <cellStyle name="Note 2 16 4" xfId="2050" xr:uid="{00000000-0005-0000-0000-0000C5040000}"/>
    <cellStyle name="Note 2 17" xfId="793" xr:uid="{00000000-0005-0000-0000-0000C6040000}"/>
    <cellStyle name="Note 2 17 2" xfId="1491" xr:uid="{00000000-0005-0000-0000-0000C7040000}"/>
    <cellStyle name="Note 2 17 3" xfId="1914" xr:uid="{00000000-0005-0000-0000-0000C8040000}"/>
    <cellStyle name="Note 2 17 4" xfId="2297" xr:uid="{00000000-0005-0000-0000-0000C9040000}"/>
    <cellStyle name="Note 2 18" xfId="786" xr:uid="{00000000-0005-0000-0000-0000CA040000}"/>
    <cellStyle name="Note 2 18 2" xfId="1484" xr:uid="{00000000-0005-0000-0000-0000CB040000}"/>
    <cellStyle name="Note 2 18 3" xfId="1907" xr:uid="{00000000-0005-0000-0000-0000CC040000}"/>
    <cellStyle name="Note 2 18 4" xfId="2290" xr:uid="{00000000-0005-0000-0000-0000CD040000}"/>
    <cellStyle name="Note 2 19" xfId="843" xr:uid="{00000000-0005-0000-0000-0000CE040000}"/>
    <cellStyle name="Note 2 2" xfId="249" xr:uid="{00000000-0005-0000-0000-0000CF040000}"/>
    <cellStyle name="Note 2 2 10" xfId="1859" xr:uid="{00000000-0005-0000-0000-0000D0040000}"/>
    <cellStyle name="Note 2 2 2" xfId="250" xr:uid="{00000000-0005-0000-0000-0000D1040000}"/>
    <cellStyle name="Note 2 2 2 2" xfId="433" xr:uid="{00000000-0005-0000-0000-0000D2040000}"/>
    <cellStyle name="Note 2 2 2 2 2" xfId="677" xr:uid="{00000000-0005-0000-0000-0000D3040000}"/>
    <cellStyle name="Note 2 2 2 2 2 2" xfId="1382" xr:uid="{00000000-0005-0000-0000-0000D4040000}"/>
    <cellStyle name="Note 2 2 2 2 2 3" xfId="1843" xr:uid="{00000000-0005-0000-0000-0000D5040000}"/>
    <cellStyle name="Note 2 2 2 2 2 4" xfId="2224" xr:uid="{00000000-0005-0000-0000-0000D6040000}"/>
    <cellStyle name="Note 2 2 2 2 3" xfId="1144" xr:uid="{00000000-0005-0000-0000-0000D7040000}"/>
    <cellStyle name="Note 2 2 2 2 4" xfId="1633" xr:uid="{00000000-0005-0000-0000-0000D8040000}"/>
    <cellStyle name="Note 2 2 2 2 5" xfId="1995" xr:uid="{00000000-0005-0000-0000-0000D9040000}"/>
    <cellStyle name="Note 2 2 2 3" xfId="562" xr:uid="{00000000-0005-0000-0000-0000DA040000}"/>
    <cellStyle name="Note 2 2 2 3 2" xfId="1268" xr:uid="{00000000-0005-0000-0000-0000DB040000}"/>
    <cellStyle name="Note 2 2 2 3 3" xfId="1739" xr:uid="{00000000-0005-0000-0000-0000DC040000}"/>
    <cellStyle name="Note 2 2 2 3 4" xfId="2115" xr:uid="{00000000-0005-0000-0000-0000DD040000}"/>
    <cellStyle name="Note 2 2 2 4" xfId="957" xr:uid="{00000000-0005-0000-0000-0000DE040000}"/>
    <cellStyle name="Note 2 2 2 5" xfId="1510" xr:uid="{00000000-0005-0000-0000-0000DF040000}"/>
    <cellStyle name="Note 2 2 2 6" xfId="868" xr:uid="{00000000-0005-0000-0000-0000E0040000}"/>
    <cellStyle name="Note 2 2 3" xfId="391" xr:uid="{00000000-0005-0000-0000-0000E1040000}"/>
    <cellStyle name="Note 2 2 3 2" xfId="678" xr:uid="{00000000-0005-0000-0000-0000E2040000}"/>
    <cellStyle name="Note 2 2 3 2 2" xfId="1383" xr:uid="{00000000-0005-0000-0000-0000E3040000}"/>
    <cellStyle name="Note 2 2 3 2 3" xfId="1844" xr:uid="{00000000-0005-0000-0000-0000E4040000}"/>
    <cellStyle name="Note 2 2 3 2 4" xfId="2225" xr:uid="{00000000-0005-0000-0000-0000E5040000}"/>
    <cellStyle name="Note 2 2 3 3" xfId="1102" xr:uid="{00000000-0005-0000-0000-0000E6040000}"/>
    <cellStyle name="Note 2 2 3 4" xfId="1604" xr:uid="{00000000-0005-0000-0000-0000E7040000}"/>
    <cellStyle name="Note 2 2 3 5" xfId="1958" xr:uid="{00000000-0005-0000-0000-0000E8040000}"/>
    <cellStyle name="Note 2 2 4" xfId="524" xr:uid="{00000000-0005-0000-0000-0000E9040000}"/>
    <cellStyle name="Note 2 2 4 2" xfId="1231" xr:uid="{00000000-0005-0000-0000-0000EA040000}"/>
    <cellStyle name="Note 2 2 4 3" xfId="1712" xr:uid="{00000000-0005-0000-0000-0000EB040000}"/>
    <cellStyle name="Note 2 2 4 4" xfId="2078" xr:uid="{00000000-0005-0000-0000-0000EC040000}"/>
    <cellStyle name="Note 2 2 5" xfId="798" xr:uid="{00000000-0005-0000-0000-0000ED040000}"/>
    <cellStyle name="Note 2 2 5 2" xfId="1496" xr:uid="{00000000-0005-0000-0000-0000EE040000}"/>
    <cellStyle name="Note 2 2 5 3" xfId="1919" xr:uid="{00000000-0005-0000-0000-0000EF040000}"/>
    <cellStyle name="Note 2 2 5 4" xfId="2302" xr:uid="{00000000-0005-0000-0000-0000F0040000}"/>
    <cellStyle name="Note 2 2 6" xfId="792" xr:uid="{00000000-0005-0000-0000-0000F1040000}"/>
    <cellStyle name="Note 2 2 6 2" xfId="1490" xr:uid="{00000000-0005-0000-0000-0000F2040000}"/>
    <cellStyle name="Note 2 2 6 3" xfId="1913" xr:uid="{00000000-0005-0000-0000-0000F3040000}"/>
    <cellStyle name="Note 2 2 6 4" xfId="2296" xr:uid="{00000000-0005-0000-0000-0000F4040000}"/>
    <cellStyle name="Note 2 2 7" xfId="804" xr:uid="{00000000-0005-0000-0000-0000F5040000}"/>
    <cellStyle name="Note 2 2 7 2" xfId="1502" xr:uid="{00000000-0005-0000-0000-0000F6040000}"/>
    <cellStyle name="Note 2 2 7 3" xfId="1925" xr:uid="{00000000-0005-0000-0000-0000F7040000}"/>
    <cellStyle name="Note 2 2 7 4" xfId="2308" xr:uid="{00000000-0005-0000-0000-0000F8040000}"/>
    <cellStyle name="Note 2 2 8" xfId="956" xr:uid="{00000000-0005-0000-0000-0000F9040000}"/>
    <cellStyle name="Note 2 2 8 2" xfId="1509" xr:uid="{00000000-0005-0000-0000-0000FA040000}"/>
    <cellStyle name="Note 2 2 8 3" xfId="1892" xr:uid="{00000000-0005-0000-0000-0000FB040000}"/>
    <cellStyle name="Note 2 2 9" xfId="850" xr:uid="{00000000-0005-0000-0000-0000FC040000}"/>
    <cellStyle name="Note 2 20" xfId="1037" xr:uid="{00000000-0005-0000-0000-0000FD040000}"/>
    <cellStyle name="Note 2 21" xfId="1613" xr:uid="{00000000-0005-0000-0000-0000FE040000}"/>
    <cellStyle name="Note 2 22" xfId="161" xr:uid="{00000000-0005-0000-0000-0000FF040000}"/>
    <cellStyle name="Note 2 3" xfId="251" xr:uid="{00000000-0005-0000-0000-000000050000}"/>
    <cellStyle name="Note 2 3 2" xfId="252" xr:uid="{00000000-0005-0000-0000-000001050000}"/>
    <cellStyle name="Note 2 3 2 2" xfId="434" xr:uid="{00000000-0005-0000-0000-000002050000}"/>
    <cellStyle name="Note 2 3 2 2 2" xfId="679" xr:uid="{00000000-0005-0000-0000-000003050000}"/>
    <cellStyle name="Note 2 3 2 2 2 2" xfId="1384" xr:uid="{00000000-0005-0000-0000-000004050000}"/>
    <cellStyle name="Note 2 3 2 2 2 3" xfId="1845" xr:uid="{00000000-0005-0000-0000-000005050000}"/>
    <cellStyle name="Note 2 3 2 2 2 4" xfId="2226" xr:uid="{00000000-0005-0000-0000-000006050000}"/>
    <cellStyle name="Note 2 3 2 2 3" xfId="1145" xr:uid="{00000000-0005-0000-0000-000007050000}"/>
    <cellStyle name="Note 2 3 2 2 4" xfId="1634" xr:uid="{00000000-0005-0000-0000-000008050000}"/>
    <cellStyle name="Note 2 3 2 2 5" xfId="1996" xr:uid="{00000000-0005-0000-0000-000009050000}"/>
    <cellStyle name="Note 2 3 2 3" xfId="563" xr:uid="{00000000-0005-0000-0000-00000A050000}"/>
    <cellStyle name="Note 2 3 2 3 2" xfId="1269" xr:uid="{00000000-0005-0000-0000-00000B050000}"/>
    <cellStyle name="Note 2 3 2 3 3" xfId="1740" xr:uid="{00000000-0005-0000-0000-00000C050000}"/>
    <cellStyle name="Note 2 3 2 3 4" xfId="2116" xr:uid="{00000000-0005-0000-0000-00000D050000}"/>
    <cellStyle name="Note 2 3 2 4" xfId="959" xr:uid="{00000000-0005-0000-0000-00000E050000}"/>
    <cellStyle name="Note 2 3 2 5" xfId="1512" xr:uid="{00000000-0005-0000-0000-00000F050000}"/>
    <cellStyle name="Note 2 3 2 6" xfId="1054" xr:uid="{00000000-0005-0000-0000-000010050000}"/>
    <cellStyle name="Note 2 3 3" xfId="392" xr:uid="{00000000-0005-0000-0000-000011050000}"/>
    <cellStyle name="Note 2 3 3 2" xfId="680" xr:uid="{00000000-0005-0000-0000-000012050000}"/>
    <cellStyle name="Note 2 3 3 2 2" xfId="1385" xr:uid="{00000000-0005-0000-0000-000013050000}"/>
    <cellStyle name="Note 2 3 3 2 3" xfId="1846" xr:uid="{00000000-0005-0000-0000-000014050000}"/>
    <cellStyle name="Note 2 3 3 2 4" xfId="2227" xr:uid="{00000000-0005-0000-0000-000015050000}"/>
    <cellStyle name="Note 2 3 3 3" xfId="1103" xr:uid="{00000000-0005-0000-0000-000016050000}"/>
    <cellStyle name="Note 2 3 3 4" xfId="1605" xr:uid="{00000000-0005-0000-0000-000017050000}"/>
    <cellStyle name="Note 2 3 3 5" xfId="1959" xr:uid="{00000000-0005-0000-0000-000018050000}"/>
    <cellStyle name="Note 2 3 4" xfId="525" xr:uid="{00000000-0005-0000-0000-000019050000}"/>
    <cellStyle name="Note 2 3 4 2" xfId="1232" xr:uid="{00000000-0005-0000-0000-00001A050000}"/>
    <cellStyle name="Note 2 3 4 3" xfId="1713" xr:uid="{00000000-0005-0000-0000-00001B050000}"/>
    <cellStyle name="Note 2 3 4 4" xfId="2079" xr:uid="{00000000-0005-0000-0000-00001C050000}"/>
    <cellStyle name="Note 2 3 5" xfId="958" xr:uid="{00000000-0005-0000-0000-00001D050000}"/>
    <cellStyle name="Note 2 3 6" xfId="1511" xr:uid="{00000000-0005-0000-0000-00001E050000}"/>
    <cellStyle name="Note 2 3 7" xfId="820" xr:uid="{00000000-0005-0000-0000-00001F050000}"/>
    <cellStyle name="Note 2 4" xfId="253" xr:uid="{00000000-0005-0000-0000-000020050000}"/>
    <cellStyle name="Note 2 4 2" xfId="254" xr:uid="{00000000-0005-0000-0000-000021050000}"/>
    <cellStyle name="Note 2 4 2 2" xfId="463" xr:uid="{00000000-0005-0000-0000-000022050000}"/>
    <cellStyle name="Note 2 4 2 2 2" xfId="681" xr:uid="{00000000-0005-0000-0000-000023050000}"/>
    <cellStyle name="Note 2 4 2 2 2 2" xfId="1386" xr:uid="{00000000-0005-0000-0000-000024050000}"/>
    <cellStyle name="Note 2 4 2 2 2 3" xfId="1847" xr:uid="{00000000-0005-0000-0000-000025050000}"/>
    <cellStyle name="Note 2 4 2 2 2 4" xfId="2228" xr:uid="{00000000-0005-0000-0000-000026050000}"/>
    <cellStyle name="Note 2 4 2 2 3" xfId="1174" xr:uid="{00000000-0005-0000-0000-000027050000}"/>
    <cellStyle name="Note 2 4 2 2 4" xfId="1658" xr:uid="{00000000-0005-0000-0000-000028050000}"/>
    <cellStyle name="Note 2 4 2 2 5" xfId="2025" xr:uid="{00000000-0005-0000-0000-000029050000}"/>
    <cellStyle name="Note 2 4 2 3" xfId="592" xr:uid="{00000000-0005-0000-0000-00002A050000}"/>
    <cellStyle name="Note 2 4 2 3 2" xfId="1298" xr:uid="{00000000-0005-0000-0000-00002B050000}"/>
    <cellStyle name="Note 2 4 2 3 3" xfId="1764" xr:uid="{00000000-0005-0000-0000-00002C050000}"/>
    <cellStyle name="Note 2 4 2 3 4" xfId="2145" xr:uid="{00000000-0005-0000-0000-00002D050000}"/>
    <cellStyle name="Note 2 4 2 4" xfId="961" xr:uid="{00000000-0005-0000-0000-00002E050000}"/>
    <cellStyle name="Note 2 4 2 5" xfId="1514" xr:uid="{00000000-0005-0000-0000-00002F050000}"/>
    <cellStyle name="Note 2 4 2 6" xfId="1901" xr:uid="{00000000-0005-0000-0000-000030050000}"/>
    <cellStyle name="Note 2 4 3" xfId="393" xr:uid="{00000000-0005-0000-0000-000031050000}"/>
    <cellStyle name="Note 2 4 3 2" xfId="682" xr:uid="{00000000-0005-0000-0000-000032050000}"/>
    <cellStyle name="Note 2 4 3 2 2" xfId="1387" xr:uid="{00000000-0005-0000-0000-000033050000}"/>
    <cellStyle name="Note 2 4 3 2 3" xfId="1848" xr:uid="{00000000-0005-0000-0000-000034050000}"/>
    <cellStyle name="Note 2 4 3 2 4" xfId="2229" xr:uid="{00000000-0005-0000-0000-000035050000}"/>
    <cellStyle name="Note 2 4 3 3" xfId="1104" xr:uid="{00000000-0005-0000-0000-000036050000}"/>
    <cellStyle name="Note 2 4 3 4" xfId="1606" xr:uid="{00000000-0005-0000-0000-000037050000}"/>
    <cellStyle name="Note 2 4 3 5" xfId="1960" xr:uid="{00000000-0005-0000-0000-000038050000}"/>
    <cellStyle name="Note 2 4 4" xfId="526" xr:uid="{00000000-0005-0000-0000-000039050000}"/>
    <cellStyle name="Note 2 4 4 2" xfId="1233" xr:uid="{00000000-0005-0000-0000-00003A050000}"/>
    <cellStyle name="Note 2 4 4 3" xfId="1714" xr:uid="{00000000-0005-0000-0000-00003B050000}"/>
    <cellStyle name="Note 2 4 4 4" xfId="2080" xr:uid="{00000000-0005-0000-0000-00003C050000}"/>
    <cellStyle name="Note 2 4 5" xfId="960" xr:uid="{00000000-0005-0000-0000-00003D050000}"/>
    <cellStyle name="Note 2 4 6" xfId="1513" xr:uid="{00000000-0005-0000-0000-00003E050000}"/>
    <cellStyle name="Note 2 4 7" xfId="1887" xr:uid="{00000000-0005-0000-0000-00003F050000}"/>
    <cellStyle name="Note 2 5" xfId="255" xr:uid="{00000000-0005-0000-0000-000040050000}"/>
    <cellStyle name="Note 2 5 2" xfId="256" xr:uid="{00000000-0005-0000-0000-000041050000}"/>
    <cellStyle name="Note 2 5 2 2" xfId="472" xr:uid="{00000000-0005-0000-0000-000042050000}"/>
    <cellStyle name="Note 2 5 2 2 2" xfId="683" xr:uid="{00000000-0005-0000-0000-000043050000}"/>
    <cellStyle name="Note 2 5 2 2 2 2" xfId="1388" xr:uid="{00000000-0005-0000-0000-000044050000}"/>
    <cellStyle name="Note 2 5 2 2 2 3" xfId="1849" xr:uid="{00000000-0005-0000-0000-000045050000}"/>
    <cellStyle name="Note 2 5 2 2 2 4" xfId="2230" xr:uid="{00000000-0005-0000-0000-000046050000}"/>
    <cellStyle name="Note 2 5 2 2 3" xfId="1183" xr:uid="{00000000-0005-0000-0000-000047050000}"/>
    <cellStyle name="Note 2 5 2 2 4" xfId="1663" xr:uid="{00000000-0005-0000-0000-000048050000}"/>
    <cellStyle name="Note 2 5 2 2 5" xfId="2034" xr:uid="{00000000-0005-0000-0000-000049050000}"/>
    <cellStyle name="Note 2 5 2 3" xfId="601" xr:uid="{00000000-0005-0000-0000-00004A050000}"/>
    <cellStyle name="Note 2 5 2 3 2" xfId="1307" xr:uid="{00000000-0005-0000-0000-00004B050000}"/>
    <cellStyle name="Note 2 5 2 3 3" xfId="1769" xr:uid="{00000000-0005-0000-0000-00004C050000}"/>
    <cellStyle name="Note 2 5 2 3 4" xfId="2154" xr:uid="{00000000-0005-0000-0000-00004D050000}"/>
    <cellStyle name="Note 2 5 2 4" xfId="963" xr:uid="{00000000-0005-0000-0000-00004E050000}"/>
    <cellStyle name="Note 2 5 2 5" xfId="1516" xr:uid="{00000000-0005-0000-0000-00004F050000}"/>
    <cellStyle name="Note 2 5 2 6" xfId="1585" xr:uid="{00000000-0005-0000-0000-000050050000}"/>
    <cellStyle name="Note 2 5 3" xfId="394" xr:uid="{00000000-0005-0000-0000-000051050000}"/>
    <cellStyle name="Note 2 5 3 2" xfId="684" xr:uid="{00000000-0005-0000-0000-000052050000}"/>
    <cellStyle name="Note 2 5 3 2 2" xfId="1389" xr:uid="{00000000-0005-0000-0000-000053050000}"/>
    <cellStyle name="Note 2 5 3 2 3" xfId="1850" xr:uid="{00000000-0005-0000-0000-000054050000}"/>
    <cellStyle name="Note 2 5 3 2 4" xfId="2231" xr:uid="{00000000-0005-0000-0000-000055050000}"/>
    <cellStyle name="Note 2 5 3 3" xfId="1105" xr:uid="{00000000-0005-0000-0000-000056050000}"/>
    <cellStyle name="Note 2 5 3 4" xfId="1607" xr:uid="{00000000-0005-0000-0000-000057050000}"/>
    <cellStyle name="Note 2 5 3 5" xfId="1961" xr:uid="{00000000-0005-0000-0000-000058050000}"/>
    <cellStyle name="Note 2 5 4" xfId="527" xr:uid="{00000000-0005-0000-0000-000059050000}"/>
    <cellStyle name="Note 2 5 4 2" xfId="1234" xr:uid="{00000000-0005-0000-0000-00005A050000}"/>
    <cellStyle name="Note 2 5 4 3" xfId="1715" xr:uid="{00000000-0005-0000-0000-00005B050000}"/>
    <cellStyle name="Note 2 5 4 4" xfId="2081" xr:uid="{00000000-0005-0000-0000-00005C050000}"/>
    <cellStyle name="Note 2 5 5" xfId="962" xr:uid="{00000000-0005-0000-0000-00005D050000}"/>
    <cellStyle name="Note 2 5 6" xfId="1515" xr:uid="{00000000-0005-0000-0000-00005E050000}"/>
    <cellStyle name="Note 2 5 7" xfId="1806" xr:uid="{00000000-0005-0000-0000-00005F050000}"/>
    <cellStyle name="Note 2 6" xfId="257" xr:uid="{00000000-0005-0000-0000-000060050000}"/>
    <cellStyle name="Note 2 6 2" xfId="258" xr:uid="{00000000-0005-0000-0000-000061050000}"/>
    <cellStyle name="Note 2 6 2 2" xfId="475" xr:uid="{00000000-0005-0000-0000-000062050000}"/>
    <cellStyle name="Note 2 6 2 2 2" xfId="685" xr:uid="{00000000-0005-0000-0000-000063050000}"/>
    <cellStyle name="Note 2 6 2 2 2 2" xfId="1390" xr:uid="{00000000-0005-0000-0000-000064050000}"/>
    <cellStyle name="Note 2 6 2 2 2 3" xfId="1851" xr:uid="{00000000-0005-0000-0000-000065050000}"/>
    <cellStyle name="Note 2 6 2 2 2 4" xfId="2232" xr:uid="{00000000-0005-0000-0000-000066050000}"/>
    <cellStyle name="Note 2 6 2 2 3" xfId="1186" xr:uid="{00000000-0005-0000-0000-000067050000}"/>
    <cellStyle name="Note 2 6 2 2 4" xfId="1665" xr:uid="{00000000-0005-0000-0000-000068050000}"/>
    <cellStyle name="Note 2 6 2 2 5" xfId="2037" xr:uid="{00000000-0005-0000-0000-000069050000}"/>
    <cellStyle name="Note 2 6 2 3" xfId="604" xr:uid="{00000000-0005-0000-0000-00006A050000}"/>
    <cellStyle name="Note 2 6 2 3 2" xfId="1310" xr:uid="{00000000-0005-0000-0000-00006B050000}"/>
    <cellStyle name="Note 2 6 2 3 3" xfId="1771" xr:uid="{00000000-0005-0000-0000-00006C050000}"/>
    <cellStyle name="Note 2 6 2 3 4" xfId="2157" xr:uid="{00000000-0005-0000-0000-00006D050000}"/>
    <cellStyle name="Note 2 6 2 4" xfId="965" xr:uid="{00000000-0005-0000-0000-00006E050000}"/>
    <cellStyle name="Note 2 6 2 5" xfId="1518" xr:uid="{00000000-0005-0000-0000-00006F050000}"/>
    <cellStyle name="Note 2 6 2 6" xfId="1891" xr:uid="{00000000-0005-0000-0000-000070050000}"/>
    <cellStyle name="Note 2 6 3" xfId="395" xr:uid="{00000000-0005-0000-0000-000071050000}"/>
    <cellStyle name="Note 2 6 3 2" xfId="686" xr:uid="{00000000-0005-0000-0000-000072050000}"/>
    <cellStyle name="Note 2 6 3 2 2" xfId="1391" xr:uid="{00000000-0005-0000-0000-000073050000}"/>
    <cellStyle name="Note 2 6 3 2 3" xfId="1852" xr:uid="{00000000-0005-0000-0000-000074050000}"/>
    <cellStyle name="Note 2 6 3 2 4" xfId="2233" xr:uid="{00000000-0005-0000-0000-000075050000}"/>
    <cellStyle name="Note 2 6 3 3" xfId="1106" xr:uid="{00000000-0005-0000-0000-000076050000}"/>
    <cellStyle name="Note 2 6 3 4" xfId="1608" xr:uid="{00000000-0005-0000-0000-000077050000}"/>
    <cellStyle name="Note 2 6 3 5" xfId="1962" xr:uid="{00000000-0005-0000-0000-000078050000}"/>
    <cellStyle name="Note 2 6 4" xfId="528" xr:uid="{00000000-0005-0000-0000-000079050000}"/>
    <cellStyle name="Note 2 6 4 2" xfId="1235" xr:uid="{00000000-0005-0000-0000-00007A050000}"/>
    <cellStyle name="Note 2 6 4 3" xfId="1716" xr:uid="{00000000-0005-0000-0000-00007B050000}"/>
    <cellStyle name="Note 2 6 4 4" xfId="2082" xr:uid="{00000000-0005-0000-0000-00007C050000}"/>
    <cellStyle name="Note 2 6 5" xfId="964" xr:uid="{00000000-0005-0000-0000-00007D050000}"/>
    <cellStyle name="Note 2 6 6" xfId="1517" xr:uid="{00000000-0005-0000-0000-00007E050000}"/>
    <cellStyle name="Note 2 6 7" xfId="1896" xr:uid="{00000000-0005-0000-0000-00007F050000}"/>
    <cellStyle name="Note 2 7" xfId="259" xr:uid="{00000000-0005-0000-0000-000080050000}"/>
    <cellStyle name="Note 2 7 2" xfId="260" xr:uid="{00000000-0005-0000-0000-000081050000}"/>
    <cellStyle name="Note 2 7 2 2" xfId="473" xr:uid="{00000000-0005-0000-0000-000082050000}"/>
    <cellStyle name="Note 2 7 2 2 2" xfId="687" xr:uid="{00000000-0005-0000-0000-000083050000}"/>
    <cellStyle name="Note 2 7 2 2 2 2" xfId="1392" xr:uid="{00000000-0005-0000-0000-000084050000}"/>
    <cellStyle name="Note 2 7 2 2 2 3" xfId="1853" xr:uid="{00000000-0005-0000-0000-000085050000}"/>
    <cellStyle name="Note 2 7 2 2 2 4" xfId="2234" xr:uid="{00000000-0005-0000-0000-000086050000}"/>
    <cellStyle name="Note 2 7 2 2 3" xfId="1184" xr:uid="{00000000-0005-0000-0000-000087050000}"/>
    <cellStyle name="Note 2 7 2 2 4" xfId="1664" xr:uid="{00000000-0005-0000-0000-000088050000}"/>
    <cellStyle name="Note 2 7 2 2 5" xfId="2035" xr:uid="{00000000-0005-0000-0000-000089050000}"/>
    <cellStyle name="Note 2 7 2 3" xfId="602" xr:uid="{00000000-0005-0000-0000-00008A050000}"/>
    <cellStyle name="Note 2 7 2 3 2" xfId="1308" xr:uid="{00000000-0005-0000-0000-00008B050000}"/>
    <cellStyle name="Note 2 7 2 3 3" xfId="1770" xr:uid="{00000000-0005-0000-0000-00008C050000}"/>
    <cellStyle name="Note 2 7 2 3 4" xfId="2155" xr:uid="{00000000-0005-0000-0000-00008D050000}"/>
    <cellStyle name="Note 2 7 2 4" xfId="967" xr:uid="{00000000-0005-0000-0000-00008E050000}"/>
    <cellStyle name="Note 2 7 2 5" xfId="1520" xr:uid="{00000000-0005-0000-0000-00008F050000}"/>
    <cellStyle name="Note 2 7 2 6" xfId="1031" xr:uid="{00000000-0005-0000-0000-000090050000}"/>
    <cellStyle name="Note 2 7 3" xfId="396" xr:uid="{00000000-0005-0000-0000-000091050000}"/>
    <cellStyle name="Note 2 7 3 2" xfId="688" xr:uid="{00000000-0005-0000-0000-000092050000}"/>
    <cellStyle name="Note 2 7 3 2 2" xfId="1393" xr:uid="{00000000-0005-0000-0000-000093050000}"/>
    <cellStyle name="Note 2 7 3 2 3" xfId="1854" xr:uid="{00000000-0005-0000-0000-000094050000}"/>
    <cellStyle name="Note 2 7 3 2 4" xfId="2235" xr:uid="{00000000-0005-0000-0000-000095050000}"/>
    <cellStyle name="Note 2 7 3 3" xfId="1107" xr:uid="{00000000-0005-0000-0000-000096050000}"/>
    <cellStyle name="Note 2 7 3 4" xfId="1609" xr:uid="{00000000-0005-0000-0000-000097050000}"/>
    <cellStyle name="Note 2 7 3 5" xfId="1963" xr:uid="{00000000-0005-0000-0000-000098050000}"/>
    <cellStyle name="Note 2 7 4" xfId="529" xr:uid="{00000000-0005-0000-0000-000099050000}"/>
    <cellStyle name="Note 2 7 4 2" xfId="1236" xr:uid="{00000000-0005-0000-0000-00009A050000}"/>
    <cellStyle name="Note 2 7 4 3" xfId="1717" xr:uid="{00000000-0005-0000-0000-00009B050000}"/>
    <cellStyle name="Note 2 7 4 4" xfId="2083" xr:uid="{00000000-0005-0000-0000-00009C050000}"/>
    <cellStyle name="Note 2 7 5" xfId="966" xr:uid="{00000000-0005-0000-0000-00009D050000}"/>
    <cellStyle name="Note 2 7 6" xfId="1519" xr:uid="{00000000-0005-0000-0000-00009E050000}"/>
    <cellStyle name="Note 2 7 7" xfId="1044" xr:uid="{00000000-0005-0000-0000-00009F050000}"/>
    <cellStyle name="Note 2 8" xfId="261" xr:uid="{00000000-0005-0000-0000-0000A0050000}"/>
    <cellStyle name="Note 2 8 2" xfId="262" xr:uid="{00000000-0005-0000-0000-0000A1050000}"/>
    <cellStyle name="Note 2 8 2 2" xfId="483" xr:uid="{00000000-0005-0000-0000-0000A2050000}"/>
    <cellStyle name="Note 2 8 2 2 2" xfId="689" xr:uid="{00000000-0005-0000-0000-0000A3050000}"/>
    <cellStyle name="Note 2 8 2 2 2 2" xfId="1394" xr:uid="{00000000-0005-0000-0000-0000A4050000}"/>
    <cellStyle name="Note 2 8 2 2 2 3" xfId="1855" xr:uid="{00000000-0005-0000-0000-0000A5050000}"/>
    <cellStyle name="Note 2 8 2 2 2 4" xfId="2236" xr:uid="{00000000-0005-0000-0000-0000A6050000}"/>
    <cellStyle name="Note 2 8 2 2 3" xfId="1194" xr:uid="{00000000-0005-0000-0000-0000A7050000}"/>
    <cellStyle name="Note 2 8 2 2 4" xfId="1673" xr:uid="{00000000-0005-0000-0000-0000A8050000}"/>
    <cellStyle name="Note 2 8 2 2 5" xfId="2045" xr:uid="{00000000-0005-0000-0000-0000A9050000}"/>
    <cellStyle name="Note 2 8 2 3" xfId="612" xr:uid="{00000000-0005-0000-0000-0000AA050000}"/>
    <cellStyle name="Note 2 8 2 3 2" xfId="1318" xr:uid="{00000000-0005-0000-0000-0000AB050000}"/>
    <cellStyle name="Note 2 8 2 3 3" xfId="1779" xr:uid="{00000000-0005-0000-0000-0000AC050000}"/>
    <cellStyle name="Note 2 8 2 3 4" xfId="2165" xr:uid="{00000000-0005-0000-0000-0000AD050000}"/>
    <cellStyle name="Note 2 8 2 4" xfId="969" xr:uid="{00000000-0005-0000-0000-0000AE050000}"/>
    <cellStyle name="Note 2 8 2 5" xfId="1522" xr:uid="{00000000-0005-0000-0000-0000AF050000}"/>
    <cellStyle name="Note 2 8 2 6" xfId="1900" xr:uid="{00000000-0005-0000-0000-0000B0050000}"/>
    <cellStyle name="Note 2 8 3" xfId="397" xr:uid="{00000000-0005-0000-0000-0000B1050000}"/>
    <cellStyle name="Note 2 8 3 2" xfId="690" xr:uid="{00000000-0005-0000-0000-0000B2050000}"/>
    <cellStyle name="Note 2 8 3 2 2" xfId="1395" xr:uid="{00000000-0005-0000-0000-0000B3050000}"/>
    <cellStyle name="Note 2 8 3 2 3" xfId="1856" xr:uid="{00000000-0005-0000-0000-0000B4050000}"/>
    <cellStyle name="Note 2 8 3 2 4" xfId="2237" xr:uid="{00000000-0005-0000-0000-0000B5050000}"/>
    <cellStyle name="Note 2 8 3 3" xfId="1108" xr:uid="{00000000-0005-0000-0000-0000B6050000}"/>
    <cellStyle name="Note 2 8 3 4" xfId="1610" xr:uid="{00000000-0005-0000-0000-0000B7050000}"/>
    <cellStyle name="Note 2 8 3 5" xfId="1964" xr:uid="{00000000-0005-0000-0000-0000B8050000}"/>
    <cellStyle name="Note 2 8 4" xfId="530" xr:uid="{00000000-0005-0000-0000-0000B9050000}"/>
    <cellStyle name="Note 2 8 4 2" xfId="1237" xr:uid="{00000000-0005-0000-0000-0000BA050000}"/>
    <cellStyle name="Note 2 8 4 3" xfId="1718" xr:uid="{00000000-0005-0000-0000-0000BB050000}"/>
    <cellStyle name="Note 2 8 4 4" xfId="2084" xr:uid="{00000000-0005-0000-0000-0000BC050000}"/>
    <cellStyle name="Note 2 8 5" xfId="968" xr:uid="{00000000-0005-0000-0000-0000BD050000}"/>
    <cellStyle name="Note 2 8 6" xfId="1521" xr:uid="{00000000-0005-0000-0000-0000BE050000}"/>
    <cellStyle name="Note 2 8 7" xfId="1886" xr:uid="{00000000-0005-0000-0000-0000BF050000}"/>
    <cellStyle name="Note 2 9" xfId="263" xr:uid="{00000000-0005-0000-0000-0000C0050000}"/>
    <cellStyle name="Note 2 9 2" xfId="264" xr:uid="{00000000-0005-0000-0000-0000C1050000}"/>
    <cellStyle name="Note 2 9 2 2" xfId="482" xr:uid="{00000000-0005-0000-0000-0000C2050000}"/>
    <cellStyle name="Note 2 9 2 2 2" xfId="691" xr:uid="{00000000-0005-0000-0000-0000C3050000}"/>
    <cellStyle name="Note 2 9 2 2 2 2" xfId="1396" xr:uid="{00000000-0005-0000-0000-0000C4050000}"/>
    <cellStyle name="Note 2 9 2 2 2 3" xfId="1857" xr:uid="{00000000-0005-0000-0000-0000C5050000}"/>
    <cellStyle name="Note 2 9 2 2 2 4" xfId="2238" xr:uid="{00000000-0005-0000-0000-0000C6050000}"/>
    <cellStyle name="Note 2 9 2 2 3" xfId="1193" xr:uid="{00000000-0005-0000-0000-0000C7050000}"/>
    <cellStyle name="Note 2 9 2 2 4" xfId="1672" xr:uid="{00000000-0005-0000-0000-0000C8050000}"/>
    <cellStyle name="Note 2 9 2 2 5" xfId="2044" xr:uid="{00000000-0005-0000-0000-0000C9050000}"/>
    <cellStyle name="Note 2 9 2 3" xfId="611" xr:uid="{00000000-0005-0000-0000-0000CA050000}"/>
    <cellStyle name="Note 2 9 2 3 2" xfId="1317" xr:uid="{00000000-0005-0000-0000-0000CB050000}"/>
    <cellStyle name="Note 2 9 2 3 3" xfId="1778" xr:uid="{00000000-0005-0000-0000-0000CC050000}"/>
    <cellStyle name="Note 2 9 2 3 4" xfId="2164" xr:uid="{00000000-0005-0000-0000-0000CD050000}"/>
    <cellStyle name="Note 2 9 2 4" xfId="971" xr:uid="{00000000-0005-0000-0000-0000CE050000}"/>
    <cellStyle name="Note 2 9 2 5" xfId="1524" xr:uid="{00000000-0005-0000-0000-0000CF050000}"/>
    <cellStyle name="Note 2 9 2 6" xfId="1584" xr:uid="{00000000-0005-0000-0000-0000D0050000}"/>
    <cellStyle name="Note 2 9 3" xfId="398" xr:uid="{00000000-0005-0000-0000-0000D1050000}"/>
    <cellStyle name="Note 2 9 3 2" xfId="692" xr:uid="{00000000-0005-0000-0000-0000D2050000}"/>
    <cellStyle name="Note 2 9 3 2 2" xfId="1397" xr:uid="{00000000-0005-0000-0000-0000D3050000}"/>
    <cellStyle name="Note 2 9 3 2 3" xfId="1858" xr:uid="{00000000-0005-0000-0000-0000D4050000}"/>
    <cellStyle name="Note 2 9 3 2 4" xfId="2239" xr:uid="{00000000-0005-0000-0000-0000D5050000}"/>
    <cellStyle name="Note 2 9 3 3" xfId="1109" xr:uid="{00000000-0005-0000-0000-0000D6050000}"/>
    <cellStyle name="Note 2 9 3 4" xfId="1611" xr:uid="{00000000-0005-0000-0000-0000D7050000}"/>
    <cellStyle name="Note 2 9 3 5" xfId="1965" xr:uid="{00000000-0005-0000-0000-0000D8050000}"/>
    <cellStyle name="Note 2 9 4" xfId="531" xr:uid="{00000000-0005-0000-0000-0000D9050000}"/>
    <cellStyle name="Note 2 9 4 2" xfId="1238" xr:uid="{00000000-0005-0000-0000-0000DA050000}"/>
    <cellStyle name="Note 2 9 4 3" xfId="1719" xr:uid="{00000000-0005-0000-0000-0000DB050000}"/>
    <cellStyle name="Note 2 9 4 4" xfId="2085" xr:uid="{00000000-0005-0000-0000-0000DC050000}"/>
    <cellStyle name="Note 2 9 5" xfId="970" xr:uid="{00000000-0005-0000-0000-0000DD050000}"/>
    <cellStyle name="Note 2 9 6" xfId="1523" xr:uid="{00000000-0005-0000-0000-0000DE050000}"/>
    <cellStyle name="Note 2 9 7" xfId="1805" xr:uid="{00000000-0005-0000-0000-0000DF050000}"/>
    <cellStyle name="Note 3" xfId="74" xr:uid="{00000000-0005-0000-0000-0000E0050000}"/>
    <cellStyle name="Note 4" xfId="75" xr:uid="{00000000-0005-0000-0000-0000E1050000}"/>
    <cellStyle name="Note 5" xfId="76" xr:uid="{00000000-0005-0000-0000-0000E2050000}"/>
    <cellStyle name="Output" xfId="88" builtinId="21" customBuiltin="1"/>
    <cellStyle name="Output 2" xfId="162" xr:uid="{00000000-0005-0000-0000-0000E4050000}"/>
    <cellStyle name="Output 2 10" xfId="265" xr:uid="{00000000-0005-0000-0000-0000E5050000}"/>
    <cellStyle name="Output 2 10 2" xfId="266" xr:uid="{00000000-0005-0000-0000-0000E6050000}"/>
    <cellStyle name="Output 2 10 2 2" xfId="442" xr:uid="{00000000-0005-0000-0000-0000E7050000}"/>
    <cellStyle name="Output 2 10 2 2 2" xfId="693" xr:uid="{00000000-0005-0000-0000-0000E8050000}"/>
    <cellStyle name="Output 2 10 2 2 2 2" xfId="1398" xr:uid="{00000000-0005-0000-0000-0000E9050000}"/>
    <cellStyle name="Output 2 10 2 2 2 3" xfId="2240" xr:uid="{00000000-0005-0000-0000-0000EA050000}"/>
    <cellStyle name="Output 2 10 2 2 3" xfId="1153" xr:uid="{00000000-0005-0000-0000-0000EB050000}"/>
    <cellStyle name="Output 2 10 2 2 4" xfId="2004" xr:uid="{00000000-0005-0000-0000-0000EC050000}"/>
    <cellStyle name="Output 2 10 2 3" xfId="571" xr:uid="{00000000-0005-0000-0000-0000ED050000}"/>
    <cellStyle name="Output 2 10 2 3 2" xfId="1277" xr:uid="{00000000-0005-0000-0000-0000EE050000}"/>
    <cellStyle name="Output 2 10 2 3 3" xfId="2124" xr:uid="{00000000-0005-0000-0000-0000EF050000}"/>
    <cellStyle name="Output 2 10 2 4" xfId="973" xr:uid="{00000000-0005-0000-0000-0000F0050000}"/>
    <cellStyle name="Output 2 10 2 5" xfId="1890" xr:uid="{00000000-0005-0000-0000-0000F1050000}"/>
    <cellStyle name="Output 2 10 3" xfId="399" xr:uid="{00000000-0005-0000-0000-0000F2050000}"/>
    <cellStyle name="Output 2 10 3 2" xfId="694" xr:uid="{00000000-0005-0000-0000-0000F3050000}"/>
    <cellStyle name="Output 2 10 3 2 2" xfId="1399" xr:uid="{00000000-0005-0000-0000-0000F4050000}"/>
    <cellStyle name="Output 2 10 3 2 3" xfId="2241" xr:uid="{00000000-0005-0000-0000-0000F5050000}"/>
    <cellStyle name="Output 2 10 3 3" xfId="1110" xr:uid="{00000000-0005-0000-0000-0000F6050000}"/>
    <cellStyle name="Output 2 10 3 4" xfId="1966" xr:uid="{00000000-0005-0000-0000-0000F7050000}"/>
    <cellStyle name="Output 2 10 4" xfId="532" xr:uid="{00000000-0005-0000-0000-0000F8050000}"/>
    <cellStyle name="Output 2 10 4 2" xfId="1239" xr:uid="{00000000-0005-0000-0000-0000F9050000}"/>
    <cellStyle name="Output 2 10 4 3" xfId="2086" xr:uid="{00000000-0005-0000-0000-0000FA050000}"/>
    <cellStyle name="Output 2 10 5" xfId="972" xr:uid="{00000000-0005-0000-0000-0000FB050000}"/>
    <cellStyle name="Output 2 10 6" xfId="1895" xr:uid="{00000000-0005-0000-0000-0000FC050000}"/>
    <cellStyle name="Output 2 11" xfId="267" xr:uid="{00000000-0005-0000-0000-0000FD050000}"/>
    <cellStyle name="Output 2 11 2" xfId="268" xr:uid="{00000000-0005-0000-0000-0000FE050000}"/>
    <cellStyle name="Output 2 11 2 2" xfId="484" xr:uid="{00000000-0005-0000-0000-0000FF050000}"/>
    <cellStyle name="Output 2 11 2 2 2" xfId="695" xr:uid="{00000000-0005-0000-0000-000000060000}"/>
    <cellStyle name="Output 2 11 2 2 2 2" xfId="1400" xr:uid="{00000000-0005-0000-0000-000001060000}"/>
    <cellStyle name="Output 2 11 2 2 2 3" xfId="2242" xr:uid="{00000000-0005-0000-0000-000002060000}"/>
    <cellStyle name="Output 2 11 2 2 3" xfId="1195" xr:uid="{00000000-0005-0000-0000-000003060000}"/>
    <cellStyle name="Output 2 11 2 2 4" xfId="2046" xr:uid="{00000000-0005-0000-0000-000004060000}"/>
    <cellStyle name="Output 2 11 2 3" xfId="613" xr:uid="{00000000-0005-0000-0000-000005060000}"/>
    <cellStyle name="Output 2 11 2 3 2" xfId="1319" xr:uid="{00000000-0005-0000-0000-000006060000}"/>
    <cellStyle name="Output 2 11 2 3 3" xfId="2166" xr:uid="{00000000-0005-0000-0000-000007060000}"/>
    <cellStyle name="Output 2 11 2 4" xfId="975" xr:uid="{00000000-0005-0000-0000-000008060000}"/>
    <cellStyle name="Output 2 11 2 5" xfId="821" xr:uid="{00000000-0005-0000-0000-000009060000}"/>
    <cellStyle name="Output 2 11 3" xfId="400" xr:uid="{00000000-0005-0000-0000-00000A060000}"/>
    <cellStyle name="Output 2 11 3 2" xfId="696" xr:uid="{00000000-0005-0000-0000-00000B060000}"/>
    <cellStyle name="Output 2 11 3 2 2" xfId="1401" xr:uid="{00000000-0005-0000-0000-00000C060000}"/>
    <cellStyle name="Output 2 11 3 2 3" xfId="2243" xr:uid="{00000000-0005-0000-0000-00000D060000}"/>
    <cellStyle name="Output 2 11 3 3" xfId="1111" xr:uid="{00000000-0005-0000-0000-00000E060000}"/>
    <cellStyle name="Output 2 11 3 4" xfId="1967" xr:uid="{00000000-0005-0000-0000-00000F060000}"/>
    <cellStyle name="Output 2 11 4" xfId="533" xr:uid="{00000000-0005-0000-0000-000010060000}"/>
    <cellStyle name="Output 2 11 4 2" xfId="1240" xr:uid="{00000000-0005-0000-0000-000011060000}"/>
    <cellStyle name="Output 2 11 4 3" xfId="2087" xr:uid="{00000000-0005-0000-0000-000012060000}"/>
    <cellStyle name="Output 2 11 5" xfId="974" xr:uid="{00000000-0005-0000-0000-000013060000}"/>
    <cellStyle name="Output 2 11 6" xfId="872" xr:uid="{00000000-0005-0000-0000-000014060000}"/>
    <cellStyle name="Output 2 12" xfId="269" xr:uid="{00000000-0005-0000-0000-000015060000}"/>
    <cellStyle name="Output 2 12 2" xfId="270" xr:uid="{00000000-0005-0000-0000-000016060000}"/>
    <cellStyle name="Output 2 12 2 2" xfId="474" xr:uid="{00000000-0005-0000-0000-000017060000}"/>
    <cellStyle name="Output 2 12 2 2 2" xfId="697" xr:uid="{00000000-0005-0000-0000-000018060000}"/>
    <cellStyle name="Output 2 12 2 2 2 2" xfId="1402" xr:uid="{00000000-0005-0000-0000-000019060000}"/>
    <cellStyle name="Output 2 12 2 2 2 3" xfId="2244" xr:uid="{00000000-0005-0000-0000-00001A060000}"/>
    <cellStyle name="Output 2 12 2 2 3" xfId="1185" xr:uid="{00000000-0005-0000-0000-00001B060000}"/>
    <cellStyle name="Output 2 12 2 2 4" xfId="2036" xr:uid="{00000000-0005-0000-0000-00001C060000}"/>
    <cellStyle name="Output 2 12 2 3" xfId="603" xr:uid="{00000000-0005-0000-0000-00001D060000}"/>
    <cellStyle name="Output 2 12 2 3 2" xfId="1309" xr:uid="{00000000-0005-0000-0000-00001E060000}"/>
    <cellStyle name="Output 2 12 2 3 3" xfId="2156" xr:uid="{00000000-0005-0000-0000-00001F060000}"/>
    <cellStyle name="Output 2 12 2 4" xfId="977" xr:uid="{00000000-0005-0000-0000-000020060000}"/>
    <cellStyle name="Output 2 12 2 5" xfId="1065" xr:uid="{00000000-0005-0000-0000-000021060000}"/>
    <cellStyle name="Output 2 12 3" xfId="401" xr:uid="{00000000-0005-0000-0000-000022060000}"/>
    <cellStyle name="Output 2 12 3 2" xfId="698" xr:uid="{00000000-0005-0000-0000-000023060000}"/>
    <cellStyle name="Output 2 12 3 2 2" xfId="1403" xr:uid="{00000000-0005-0000-0000-000024060000}"/>
    <cellStyle name="Output 2 12 3 2 3" xfId="2245" xr:uid="{00000000-0005-0000-0000-000025060000}"/>
    <cellStyle name="Output 2 12 3 3" xfId="1112" xr:uid="{00000000-0005-0000-0000-000026060000}"/>
    <cellStyle name="Output 2 12 3 4" xfId="1968" xr:uid="{00000000-0005-0000-0000-000027060000}"/>
    <cellStyle name="Output 2 12 4" xfId="534" xr:uid="{00000000-0005-0000-0000-000028060000}"/>
    <cellStyle name="Output 2 12 4 2" xfId="1241" xr:uid="{00000000-0005-0000-0000-000029060000}"/>
    <cellStyle name="Output 2 12 4 3" xfId="2088" xr:uid="{00000000-0005-0000-0000-00002A060000}"/>
    <cellStyle name="Output 2 12 5" xfId="976" xr:uid="{00000000-0005-0000-0000-00002B060000}"/>
    <cellStyle name="Output 2 12 6" xfId="854" xr:uid="{00000000-0005-0000-0000-00002C060000}"/>
    <cellStyle name="Output 2 13" xfId="271" xr:uid="{00000000-0005-0000-0000-00002D060000}"/>
    <cellStyle name="Output 2 13 2" xfId="435" xr:uid="{00000000-0005-0000-0000-00002E060000}"/>
    <cellStyle name="Output 2 13 2 2" xfId="699" xr:uid="{00000000-0005-0000-0000-00002F060000}"/>
    <cellStyle name="Output 2 13 2 2 2" xfId="1404" xr:uid="{00000000-0005-0000-0000-000030060000}"/>
    <cellStyle name="Output 2 13 2 2 3" xfId="2246" xr:uid="{00000000-0005-0000-0000-000031060000}"/>
    <cellStyle name="Output 2 13 2 3" xfId="1146" xr:uid="{00000000-0005-0000-0000-000032060000}"/>
    <cellStyle name="Output 2 13 2 4" xfId="1997" xr:uid="{00000000-0005-0000-0000-000033060000}"/>
    <cellStyle name="Output 2 13 3" xfId="564" xr:uid="{00000000-0005-0000-0000-000034060000}"/>
    <cellStyle name="Output 2 13 3 2" xfId="1270" xr:uid="{00000000-0005-0000-0000-000035060000}"/>
    <cellStyle name="Output 2 13 3 3" xfId="2117" xr:uid="{00000000-0005-0000-0000-000036060000}"/>
    <cellStyle name="Output 2 13 4" xfId="978" xr:uid="{00000000-0005-0000-0000-000037060000}"/>
    <cellStyle name="Output 2 13 5" xfId="1052" xr:uid="{00000000-0005-0000-0000-000038060000}"/>
    <cellStyle name="Output 2 14" xfId="358" xr:uid="{00000000-0005-0000-0000-000039060000}"/>
    <cellStyle name="Output 2 14 2" xfId="700" xr:uid="{00000000-0005-0000-0000-00003A060000}"/>
    <cellStyle name="Output 2 14 2 2" xfId="1405" xr:uid="{00000000-0005-0000-0000-00003B060000}"/>
    <cellStyle name="Output 2 14 2 3" xfId="2247" xr:uid="{00000000-0005-0000-0000-00003C060000}"/>
    <cellStyle name="Output 2 14 3" xfId="1069" xr:uid="{00000000-0005-0000-0000-00003D060000}"/>
    <cellStyle name="Output 2 14 4" xfId="1931" xr:uid="{00000000-0005-0000-0000-00003E060000}"/>
    <cellStyle name="Output 2 15" xfId="497" xr:uid="{00000000-0005-0000-0000-00003F060000}"/>
    <cellStyle name="Output 2 15 2" xfId="1204" xr:uid="{00000000-0005-0000-0000-000040060000}"/>
    <cellStyle name="Output 2 15 3" xfId="2051" xr:uid="{00000000-0005-0000-0000-000041060000}"/>
    <cellStyle name="Output 2 16" xfId="794" xr:uid="{00000000-0005-0000-0000-000042060000}"/>
    <cellStyle name="Output 2 16 2" xfId="1492" xr:uid="{00000000-0005-0000-0000-000043060000}"/>
    <cellStyle name="Output 2 16 3" xfId="1915" xr:uid="{00000000-0005-0000-0000-000044060000}"/>
    <cellStyle name="Output 2 16 4" xfId="2298" xr:uid="{00000000-0005-0000-0000-000045060000}"/>
    <cellStyle name="Output 2 17" xfId="788" xr:uid="{00000000-0005-0000-0000-000046060000}"/>
    <cellStyle name="Output 2 17 2" xfId="1486" xr:uid="{00000000-0005-0000-0000-000047060000}"/>
    <cellStyle name="Output 2 17 3" xfId="1909" xr:uid="{00000000-0005-0000-0000-000048060000}"/>
    <cellStyle name="Output 2 17 4" xfId="2292" xr:uid="{00000000-0005-0000-0000-000049060000}"/>
    <cellStyle name="Output 2 18" xfId="791" xr:uid="{00000000-0005-0000-0000-00004A060000}"/>
    <cellStyle name="Output 2 18 2" xfId="1489" xr:uid="{00000000-0005-0000-0000-00004B060000}"/>
    <cellStyle name="Output 2 18 3" xfId="1912" xr:uid="{00000000-0005-0000-0000-00004C060000}"/>
    <cellStyle name="Output 2 18 4" xfId="2295" xr:uid="{00000000-0005-0000-0000-00004D060000}"/>
    <cellStyle name="Output 2 19" xfId="879" xr:uid="{00000000-0005-0000-0000-00004E060000}"/>
    <cellStyle name="Output 2 19 2" xfId="870" xr:uid="{00000000-0005-0000-0000-00004F060000}"/>
    <cellStyle name="Output 2 19 3" xfId="1675" xr:uid="{00000000-0005-0000-0000-000050060000}"/>
    <cellStyle name="Output 2 2" xfId="272" xr:uid="{00000000-0005-0000-0000-000051060000}"/>
    <cellStyle name="Output 2 2 2" xfId="273" xr:uid="{00000000-0005-0000-0000-000052060000}"/>
    <cellStyle name="Output 2 2 2 2" xfId="436" xr:uid="{00000000-0005-0000-0000-000053060000}"/>
    <cellStyle name="Output 2 2 2 2 2" xfId="701" xr:uid="{00000000-0005-0000-0000-000054060000}"/>
    <cellStyle name="Output 2 2 2 2 2 2" xfId="1406" xr:uid="{00000000-0005-0000-0000-000055060000}"/>
    <cellStyle name="Output 2 2 2 2 2 3" xfId="2248" xr:uid="{00000000-0005-0000-0000-000056060000}"/>
    <cellStyle name="Output 2 2 2 2 3" xfId="1147" xr:uid="{00000000-0005-0000-0000-000057060000}"/>
    <cellStyle name="Output 2 2 2 2 4" xfId="1998" xr:uid="{00000000-0005-0000-0000-000058060000}"/>
    <cellStyle name="Output 2 2 2 3" xfId="565" xr:uid="{00000000-0005-0000-0000-000059060000}"/>
    <cellStyle name="Output 2 2 2 3 2" xfId="1271" xr:uid="{00000000-0005-0000-0000-00005A060000}"/>
    <cellStyle name="Output 2 2 2 3 3" xfId="2118" xr:uid="{00000000-0005-0000-0000-00005B060000}"/>
    <cellStyle name="Output 2 2 2 4" xfId="980" xr:uid="{00000000-0005-0000-0000-00005C060000}"/>
    <cellStyle name="Output 2 2 2 5" xfId="808" xr:uid="{00000000-0005-0000-0000-00005D060000}"/>
    <cellStyle name="Output 2 2 3" xfId="402" xr:uid="{00000000-0005-0000-0000-00005E060000}"/>
    <cellStyle name="Output 2 2 3 2" xfId="702" xr:uid="{00000000-0005-0000-0000-00005F060000}"/>
    <cellStyle name="Output 2 2 3 2 2" xfId="1407" xr:uid="{00000000-0005-0000-0000-000060060000}"/>
    <cellStyle name="Output 2 2 3 2 3" xfId="2249" xr:uid="{00000000-0005-0000-0000-000061060000}"/>
    <cellStyle name="Output 2 2 3 3" xfId="1113" xr:uid="{00000000-0005-0000-0000-000062060000}"/>
    <cellStyle name="Output 2 2 3 4" xfId="1969" xr:uid="{00000000-0005-0000-0000-000063060000}"/>
    <cellStyle name="Output 2 2 4" xfId="535" xr:uid="{00000000-0005-0000-0000-000064060000}"/>
    <cellStyle name="Output 2 2 4 2" xfId="1242" xr:uid="{00000000-0005-0000-0000-000065060000}"/>
    <cellStyle name="Output 2 2 4 3" xfId="2089" xr:uid="{00000000-0005-0000-0000-000066060000}"/>
    <cellStyle name="Output 2 2 5" xfId="799" xr:uid="{00000000-0005-0000-0000-000067060000}"/>
    <cellStyle name="Output 2 2 5 2" xfId="1497" xr:uid="{00000000-0005-0000-0000-000068060000}"/>
    <cellStyle name="Output 2 2 5 3" xfId="1920" xr:uid="{00000000-0005-0000-0000-000069060000}"/>
    <cellStyle name="Output 2 2 5 4" xfId="2303" xr:uid="{00000000-0005-0000-0000-00006A060000}"/>
    <cellStyle name="Output 2 2 6" xfId="805" xr:uid="{00000000-0005-0000-0000-00006B060000}"/>
    <cellStyle name="Output 2 2 6 2" xfId="1503" xr:uid="{00000000-0005-0000-0000-00006C060000}"/>
    <cellStyle name="Output 2 2 6 3" xfId="1926" xr:uid="{00000000-0005-0000-0000-00006D060000}"/>
    <cellStyle name="Output 2 2 6 4" xfId="2309" xr:uid="{00000000-0005-0000-0000-00006E060000}"/>
    <cellStyle name="Output 2 2 7" xfId="979" xr:uid="{00000000-0005-0000-0000-00006F060000}"/>
    <cellStyle name="Output 2 2 7 2" xfId="1526" xr:uid="{00000000-0005-0000-0000-000070060000}"/>
    <cellStyle name="Output 2 2 7 3" xfId="1904" xr:uid="{00000000-0005-0000-0000-000071060000}"/>
    <cellStyle name="Output 2 2 8" xfId="851" xr:uid="{00000000-0005-0000-0000-000072060000}"/>
    <cellStyle name="Output 2 2 9" xfId="1635" xr:uid="{00000000-0005-0000-0000-000073060000}"/>
    <cellStyle name="Output 2 20" xfId="844" xr:uid="{00000000-0005-0000-0000-000074060000}"/>
    <cellStyle name="Output 2 21" xfId="1038" xr:uid="{00000000-0005-0000-0000-000075060000}"/>
    <cellStyle name="Output 2 22" xfId="1741" xr:uid="{00000000-0005-0000-0000-000076060000}"/>
    <cellStyle name="Output 2 3" xfId="274" xr:uid="{00000000-0005-0000-0000-000077060000}"/>
    <cellStyle name="Output 2 3 2" xfId="275" xr:uid="{00000000-0005-0000-0000-000078060000}"/>
    <cellStyle name="Output 2 3 2 2" xfId="437" xr:uid="{00000000-0005-0000-0000-000079060000}"/>
    <cellStyle name="Output 2 3 2 2 2" xfId="703" xr:uid="{00000000-0005-0000-0000-00007A060000}"/>
    <cellStyle name="Output 2 3 2 2 2 2" xfId="1408" xr:uid="{00000000-0005-0000-0000-00007B060000}"/>
    <cellStyle name="Output 2 3 2 2 2 3" xfId="2250" xr:uid="{00000000-0005-0000-0000-00007C060000}"/>
    <cellStyle name="Output 2 3 2 2 3" xfId="1148" xr:uid="{00000000-0005-0000-0000-00007D060000}"/>
    <cellStyle name="Output 2 3 2 2 4" xfId="1999" xr:uid="{00000000-0005-0000-0000-00007E060000}"/>
    <cellStyle name="Output 2 3 2 3" xfId="566" xr:uid="{00000000-0005-0000-0000-00007F060000}"/>
    <cellStyle name="Output 2 3 2 3 2" xfId="1272" xr:uid="{00000000-0005-0000-0000-000080060000}"/>
    <cellStyle name="Output 2 3 2 3 3" xfId="2119" xr:uid="{00000000-0005-0000-0000-000081060000}"/>
    <cellStyle name="Output 2 3 2 4" xfId="982" xr:uid="{00000000-0005-0000-0000-000082060000}"/>
    <cellStyle name="Output 2 3 2 5" xfId="1042" xr:uid="{00000000-0005-0000-0000-000083060000}"/>
    <cellStyle name="Output 2 3 3" xfId="403" xr:uid="{00000000-0005-0000-0000-000084060000}"/>
    <cellStyle name="Output 2 3 3 2" xfId="704" xr:uid="{00000000-0005-0000-0000-000085060000}"/>
    <cellStyle name="Output 2 3 3 2 2" xfId="1409" xr:uid="{00000000-0005-0000-0000-000086060000}"/>
    <cellStyle name="Output 2 3 3 2 3" xfId="2251" xr:uid="{00000000-0005-0000-0000-000087060000}"/>
    <cellStyle name="Output 2 3 3 3" xfId="1114" xr:uid="{00000000-0005-0000-0000-000088060000}"/>
    <cellStyle name="Output 2 3 3 4" xfId="1970" xr:uid="{00000000-0005-0000-0000-000089060000}"/>
    <cellStyle name="Output 2 3 4" xfId="536" xr:uid="{00000000-0005-0000-0000-00008A060000}"/>
    <cellStyle name="Output 2 3 4 2" xfId="1243" xr:uid="{00000000-0005-0000-0000-00008B060000}"/>
    <cellStyle name="Output 2 3 4 3" xfId="2090" xr:uid="{00000000-0005-0000-0000-00008C060000}"/>
    <cellStyle name="Output 2 3 5" xfId="981" xr:uid="{00000000-0005-0000-0000-00008D060000}"/>
    <cellStyle name="Output 2 3 6" xfId="811" xr:uid="{00000000-0005-0000-0000-00008E060000}"/>
    <cellStyle name="Output 2 4" xfId="276" xr:uid="{00000000-0005-0000-0000-00008F060000}"/>
    <cellStyle name="Output 2 4 2" xfId="277" xr:uid="{00000000-0005-0000-0000-000090060000}"/>
    <cellStyle name="Output 2 4 2 2" xfId="464" xr:uid="{00000000-0005-0000-0000-000091060000}"/>
    <cellStyle name="Output 2 4 2 2 2" xfId="705" xr:uid="{00000000-0005-0000-0000-000092060000}"/>
    <cellStyle name="Output 2 4 2 2 2 2" xfId="1410" xr:uid="{00000000-0005-0000-0000-000093060000}"/>
    <cellStyle name="Output 2 4 2 2 2 3" xfId="2252" xr:uid="{00000000-0005-0000-0000-000094060000}"/>
    <cellStyle name="Output 2 4 2 2 3" xfId="1175" xr:uid="{00000000-0005-0000-0000-000095060000}"/>
    <cellStyle name="Output 2 4 2 2 4" xfId="2026" xr:uid="{00000000-0005-0000-0000-000096060000}"/>
    <cellStyle name="Output 2 4 2 3" xfId="593" xr:uid="{00000000-0005-0000-0000-000097060000}"/>
    <cellStyle name="Output 2 4 2 3 2" xfId="1299" xr:uid="{00000000-0005-0000-0000-000098060000}"/>
    <cellStyle name="Output 2 4 2 3 3" xfId="2146" xr:uid="{00000000-0005-0000-0000-000099060000}"/>
    <cellStyle name="Output 2 4 2 4" xfId="984" xr:uid="{00000000-0005-0000-0000-00009A060000}"/>
    <cellStyle name="Output 2 4 2 5" xfId="1061" xr:uid="{00000000-0005-0000-0000-00009B060000}"/>
    <cellStyle name="Output 2 4 3" xfId="404" xr:uid="{00000000-0005-0000-0000-00009C060000}"/>
    <cellStyle name="Output 2 4 3 2" xfId="706" xr:uid="{00000000-0005-0000-0000-00009D060000}"/>
    <cellStyle name="Output 2 4 3 2 2" xfId="1411" xr:uid="{00000000-0005-0000-0000-00009E060000}"/>
    <cellStyle name="Output 2 4 3 2 3" xfId="2253" xr:uid="{00000000-0005-0000-0000-00009F060000}"/>
    <cellStyle name="Output 2 4 3 3" xfId="1115" xr:uid="{00000000-0005-0000-0000-0000A0060000}"/>
    <cellStyle name="Output 2 4 3 4" xfId="1971" xr:uid="{00000000-0005-0000-0000-0000A1060000}"/>
    <cellStyle name="Output 2 4 4" xfId="537" xr:uid="{00000000-0005-0000-0000-0000A2060000}"/>
    <cellStyle name="Output 2 4 4 2" xfId="1244" xr:uid="{00000000-0005-0000-0000-0000A3060000}"/>
    <cellStyle name="Output 2 4 4 3" xfId="2091" xr:uid="{00000000-0005-0000-0000-0000A4060000}"/>
    <cellStyle name="Output 2 4 5" xfId="983" xr:uid="{00000000-0005-0000-0000-0000A5060000}"/>
    <cellStyle name="Output 2 4 6" xfId="856" xr:uid="{00000000-0005-0000-0000-0000A6060000}"/>
    <cellStyle name="Output 2 5" xfId="278" xr:uid="{00000000-0005-0000-0000-0000A7060000}"/>
    <cellStyle name="Output 2 5 2" xfId="279" xr:uid="{00000000-0005-0000-0000-0000A8060000}"/>
    <cellStyle name="Output 2 5 2 2" xfId="471" xr:uid="{00000000-0005-0000-0000-0000A9060000}"/>
    <cellStyle name="Output 2 5 2 2 2" xfId="707" xr:uid="{00000000-0005-0000-0000-0000AA060000}"/>
    <cellStyle name="Output 2 5 2 2 2 2" xfId="1412" xr:uid="{00000000-0005-0000-0000-0000AB060000}"/>
    <cellStyle name="Output 2 5 2 2 2 3" xfId="2254" xr:uid="{00000000-0005-0000-0000-0000AC060000}"/>
    <cellStyle name="Output 2 5 2 2 3" xfId="1182" xr:uid="{00000000-0005-0000-0000-0000AD060000}"/>
    <cellStyle name="Output 2 5 2 2 4" xfId="2033" xr:uid="{00000000-0005-0000-0000-0000AE060000}"/>
    <cellStyle name="Output 2 5 2 3" xfId="600" xr:uid="{00000000-0005-0000-0000-0000AF060000}"/>
    <cellStyle name="Output 2 5 2 3 2" xfId="1306" xr:uid="{00000000-0005-0000-0000-0000B0060000}"/>
    <cellStyle name="Output 2 5 2 3 3" xfId="2153" xr:uid="{00000000-0005-0000-0000-0000B1060000}"/>
    <cellStyle name="Output 2 5 2 4" xfId="986" xr:uid="{00000000-0005-0000-0000-0000B2060000}"/>
    <cellStyle name="Output 2 5 2 5" xfId="943" xr:uid="{00000000-0005-0000-0000-0000B3060000}"/>
    <cellStyle name="Output 2 5 3" xfId="405" xr:uid="{00000000-0005-0000-0000-0000B4060000}"/>
    <cellStyle name="Output 2 5 3 2" xfId="708" xr:uid="{00000000-0005-0000-0000-0000B5060000}"/>
    <cellStyle name="Output 2 5 3 2 2" xfId="1413" xr:uid="{00000000-0005-0000-0000-0000B6060000}"/>
    <cellStyle name="Output 2 5 3 2 3" xfId="2255" xr:uid="{00000000-0005-0000-0000-0000B7060000}"/>
    <cellStyle name="Output 2 5 3 3" xfId="1116" xr:uid="{00000000-0005-0000-0000-0000B8060000}"/>
    <cellStyle name="Output 2 5 3 4" xfId="1972" xr:uid="{00000000-0005-0000-0000-0000B9060000}"/>
    <cellStyle name="Output 2 5 4" xfId="538" xr:uid="{00000000-0005-0000-0000-0000BA060000}"/>
    <cellStyle name="Output 2 5 4 2" xfId="1245" xr:uid="{00000000-0005-0000-0000-0000BB060000}"/>
    <cellStyle name="Output 2 5 4 3" xfId="2092" xr:uid="{00000000-0005-0000-0000-0000BC060000}"/>
    <cellStyle name="Output 2 5 5" xfId="985" xr:uid="{00000000-0005-0000-0000-0000BD060000}"/>
    <cellStyle name="Output 2 5 6" xfId="1555" xr:uid="{00000000-0005-0000-0000-0000BE060000}"/>
    <cellStyle name="Output 2 6" xfId="280" xr:uid="{00000000-0005-0000-0000-0000BF060000}"/>
    <cellStyle name="Output 2 6 2" xfId="281" xr:uid="{00000000-0005-0000-0000-0000C0060000}"/>
    <cellStyle name="Output 2 6 2 2" xfId="445" xr:uid="{00000000-0005-0000-0000-0000C1060000}"/>
    <cellStyle name="Output 2 6 2 2 2" xfId="709" xr:uid="{00000000-0005-0000-0000-0000C2060000}"/>
    <cellStyle name="Output 2 6 2 2 2 2" xfId="1414" xr:uid="{00000000-0005-0000-0000-0000C3060000}"/>
    <cellStyle name="Output 2 6 2 2 2 3" xfId="2256" xr:uid="{00000000-0005-0000-0000-0000C4060000}"/>
    <cellStyle name="Output 2 6 2 2 3" xfId="1156" xr:uid="{00000000-0005-0000-0000-0000C5060000}"/>
    <cellStyle name="Output 2 6 2 2 4" xfId="2007" xr:uid="{00000000-0005-0000-0000-0000C6060000}"/>
    <cellStyle name="Output 2 6 2 3" xfId="574" xr:uid="{00000000-0005-0000-0000-0000C7060000}"/>
    <cellStyle name="Output 2 6 2 3 2" xfId="1280" xr:uid="{00000000-0005-0000-0000-0000C8060000}"/>
    <cellStyle name="Output 2 6 2 3 3" xfId="2127" xr:uid="{00000000-0005-0000-0000-0000C9060000}"/>
    <cellStyle name="Output 2 6 2 4" xfId="988" xr:uid="{00000000-0005-0000-0000-0000CA060000}"/>
    <cellStyle name="Output 2 6 2 5" xfId="876" xr:uid="{00000000-0005-0000-0000-0000CB060000}"/>
    <cellStyle name="Output 2 6 3" xfId="406" xr:uid="{00000000-0005-0000-0000-0000CC060000}"/>
    <cellStyle name="Output 2 6 3 2" xfId="710" xr:uid="{00000000-0005-0000-0000-0000CD060000}"/>
    <cellStyle name="Output 2 6 3 2 2" xfId="1415" xr:uid="{00000000-0005-0000-0000-0000CE060000}"/>
    <cellStyle name="Output 2 6 3 2 3" xfId="2257" xr:uid="{00000000-0005-0000-0000-0000CF060000}"/>
    <cellStyle name="Output 2 6 3 3" xfId="1117" xr:uid="{00000000-0005-0000-0000-0000D0060000}"/>
    <cellStyle name="Output 2 6 3 4" xfId="1973" xr:uid="{00000000-0005-0000-0000-0000D1060000}"/>
    <cellStyle name="Output 2 6 4" xfId="539" xr:uid="{00000000-0005-0000-0000-0000D2060000}"/>
    <cellStyle name="Output 2 6 4 2" xfId="1246" xr:uid="{00000000-0005-0000-0000-0000D3060000}"/>
    <cellStyle name="Output 2 6 4 3" xfId="2093" xr:uid="{00000000-0005-0000-0000-0000D4060000}"/>
    <cellStyle name="Output 2 6 5" xfId="987" xr:uid="{00000000-0005-0000-0000-0000D5060000}"/>
    <cellStyle name="Output 2 6 6" xfId="1029" xr:uid="{00000000-0005-0000-0000-0000D6060000}"/>
    <cellStyle name="Output 2 7" xfId="282" xr:uid="{00000000-0005-0000-0000-0000D7060000}"/>
    <cellStyle name="Output 2 7 2" xfId="283" xr:uid="{00000000-0005-0000-0000-0000D8060000}"/>
    <cellStyle name="Output 2 7 2 2" xfId="449" xr:uid="{00000000-0005-0000-0000-0000D9060000}"/>
    <cellStyle name="Output 2 7 2 2 2" xfId="711" xr:uid="{00000000-0005-0000-0000-0000DA060000}"/>
    <cellStyle name="Output 2 7 2 2 2 2" xfId="1416" xr:uid="{00000000-0005-0000-0000-0000DB060000}"/>
    <cellStyle name="Output 2 7 2 2 2 3" xfId="2258" xr:uid="{00000000-0005-0000-0000-0000DC060000}"/>
    <cellStyle name="Output 2 7 2 2 3" xfId="1160" xr:uid="{00000000-0005-0000-0000-0000DD060000}"/>
    <cellStyle name="Output 2 7 2 2 4" xfId="2011" xr:uid="{00000000-0005-0000-0000-0000DE060000}"/>
    <cellStyle name="Output 2 7 2 3" xfId="578" xr:uid="{00000000-0005-0000-0000-0000DF060000}"/>
    <cellStyle name="Output 2 7 2 3 2" xfId="1284" xr:uid="{00000000-0005-0000-0000-0000E0060000}"/>
    <cellStyle name="Output 2 7 2 3 3" xfId="2131" xr:uid="{00000000-0005-0000-0000-0000E1060000}"/>
    <cellStyle name="Output 2 7 2 4" xfId="990" xr:uid="{00000000-0005-0000-0000-0000E2060000}"/>
    <cellStyle name="Output 2 7 2 5" xfId="853" xr:uid="{00000000-0005-0000-0000-0000E3060000}"/>
    <cellStyle name="Output 2 7 3" xfId="407" xr:uid="{00000000-0005-0000-0000-0000E4060000}"/>
    <cellStyle name="Output 2 7 3 2" xfId="712" xr:uid="{00000000-0005-0000-0000-0000E5060000}"/>
    <cellStyle name="Output 2 7 3 2 2" xfId="1417" xr:uid="{00000000-0005-0000-0000-0000E6060000}"/>
    <cellStyle name="Output 2 7 3 2 3" xfId="2259" xr:uid="{00000000-0005-0000-0000-0000E7060000}"/>
    <cellStyle name="Output 2 7 3 3" xfId="1118" xr:uid="{00000000-0005-0000-0000-0000E8060000}"/>
    <cellStyle name="Output 2 7 3 4" xfId="1974" xr:uid="{00000000-0005-0000-0000-0000E9060000}"/>
    <cellStyle name="Output 2 7 4" xfId="540" xr:uid="{00000000-0005-0000-0000-0000EA060000}"/>
    <cellStyle name="Output 2 7 4 2" xfId="1247" xr:uid="{00000000-0005-0000-0000-0000EB060000}"/>
    <cellStyle name="Output 2 7 4 3" xfId="2094" xr:uid="{00000000-0005-0000-0000-0000EC060000}"/>
    <cellStyle name="Output 2 7 5" xfId="989" xr:uid="{00000000-0005-0000-0000-0000ED060000}"/>
    <cellStyle name="Output 2 7 6" xfId="1677" xr:uid="{00000000-0005-0000-0000-0000EE060000}"/>
    <cellStyle name="Output 2 8" xfId="284" xr:uid="{00000000-0005-0000-0000-0000EF060000}"/>
    <cellStyle name="Output 2 8 2" xfId="285" xr:uid="{00000000-0005-0000-0000-0000F0060000}"/>
    <cellStyle name="Output 2 8 2 2" xfId="466" xr:uid="{00000000-0005-0000-0000-0000F1060000}"/>
    <cellStyle name="Output 2 8 2 2 2" xfId="713" xr:uid="{00000000-0005-0000-0000-0000F2060000}"/>
    <cellStyle name="Output 2 8 2 2 2 2" xfId="1418" xr:uid="{00000000-0005-0000-0000-0000F3060000}"/>
    <cellStyle name="Output 2 8 2 2 2 3" xfId="2260" xr:uid="{00000000-0005-0000-0000-0000F4060000}"/>
    <cellStyle name="Output 2 8 2 2 3" xfId="1177" xr:uid="{00000000-0005-0000-0000-0000F5060000}"/>
    <cellStyle name="Output 2 8 2 2 4" xfId="2028" xr:uid="{00000000-0005-0000-0000-0000F6060000}"/>
    <cellStyle name="Output 2 8 2 3" xfId="595" xr:uid="{00000000-0005-0000-0000-0000F7060000}"/>
    <cellStyle name="Output 2 8 2 3 2" xfId="1301" xr:uid="{00000000-0005-0000-0000-0000F8060000}"/>
    <cellStyle name="Output 2 8 2 3 3" xfId="2148" xr:uid="{00000000-0005-0000-0000-0000F9060000}"/>
    <cellStyle name="Output 2 8 2 4" xfId="992" xr:uid="{00000000-0005-0000-0000-0000FA060000}"/>
    <cellStyle name="Output 2 8 2 5" xfId="812" xr:uid="{00000000-0005-0000-0000-0000FB060000}"/>
    <cellStyle name="Output 2 8 3" xfId="408" xr:uid="{00000000-0005-0000-0000-0000FC060000}"/>
    <cellStyle name="Output 2 8 3 2" xfId="714" xr:uid="{00000000-0005-0000-0000-0000FD060000}"/>
    <cellStyle name="Output 2 8 3 2 2" xfId="1419" xr:uid="{00000000-0005-0000-0000-0000FE060000}"/>
    <cellStyle name="Output 2 8 3 2 3" xfId="2261" xr:uid="{00000000-0005-0000-0000-0000FF060000}"/>
    <cellStyle name="Output 2 8 3 3" xfId="1119" xr:uid="{00000000-0005-0000-0000-000000070000}"/>
    <cellStyle name="Output 2 8 3 4" xfId="1975" xr:uid="{00000000-0005-0000-0000-000001070000}"/>
    <cellStyle name="Output 2 8 4" xfId="541" xr:uid="{00000000-0005-0000-0000-000002070000}"/>
    <cellStyle name="Output 2 8 4 2" xfId="1248" xr:uid="{00000000-0005-0000-0000-000003070000}"/>
    <cellStyle name="Output 2 8 4 3" xfId="2095" xr:uid="{00000000-0005-0000-0000-000004070000}"/>
    <cellStyle name="Output 2 8 5" xfId="991" xr:uid="{00000000-0005-0000-0000-000005070000}"/>
    <cellStyle name="Output 2 8 6" xfId="995" xr:uid="{00000000-0005-0000-0000-000006070000}"/>
    <cellStyle name="Output 2 9" xfId="286" xr:uid="{00000000-0005-0000-0000-000007070000}"/>
    <cellStyle name="Output 2 9 2" xfId="287" xr:uid="{00000000-0005-0000-0000-000008070000}"/>
    <cellStyle name="Output 2 9 2 2" xfId="469" xr:uid="{00000000-0005-0000-0000-000009070000}"/>
    <cellStyle name="Output 2 9 2 2 2" xfId="715" xr:uid="{00000000-0005-0000-0000-00000A070000}"/>
    <cellStyle name="Output 2 9 2 2 2 2" xfId="1420" xr:uid="{00000000-0005-0000-0000-00000B070000}"/>
    <cellStyle name="Output 2 9 2 2 2 3" xfId="2262" xr:uid="{00000000-0005-0000-0000-00000C070000}"/>
    <cellStyle name="Output 2 9 2 2 3" xfId="1180" xr:uid="{00000000-0005-0000-0000-00000D070000}"/>
    <cellStyle name="Output 2 9 2 2 4" xfId="2031" xr:uid="{00000000-0005-0000-0000-00000E070000}"/>
    <cellStyle name="Output 2 9 2 3" xfId="598" xr:uid="{00000000-0005-0000-0000-00000F070000}"/>
    <cellStyle name="Output 2 9 2 3 2" xfId="1304" xr:uid="{00000000-0005-0000-0000-000010070000}"/>
    <cellStyle name="Output 2 9 2 3 3" xfId="2151" xr:uid="{00000000-0005-0000-0000-000011070000}"/>
    <cellStyle name="Output 2 9 2 4" xfId="994" xr:uid="{00000000-0005-0000-0000-000012070000}"/>
    <cellStyle name="Output 2 9 2 5" xfId="838" xr:uid="{00000000-0005-0000-0000-000013070000}"/>
    <cellStyle name="Output 2 9 3" xfId="409" xr:uid="{00000000-0005-0000-0000-000014070000}"/>
    <cellStyle name="Output 2 9 3 2" xfId="716" xr:uid="{00000000-0005-0000-0000-000015070000}"/>
    <cellStyle name="Output 2 9 3 2 2" xfId="1421" xr:uid="{00000000-0005-0000-0000-000016070000}"/>
    <cellStyle name="Output 2 9 3 2 3" xfId="2263" xr:uid="{00000000-0005-0000-0000-000017070000}"/>
    <cellStyle name="Output 2 9 3 3" xfId="1120" xr:uid="{00000000-0005-0000-0000-000018070000}"/>
    <cellStyle name="Output 2 9 3 4" xfId="1976" xr:uid="{00000000-0005-0000-0000-000019070000}"/>
    <cellStyle name="Output 2 9 4" xfId="542" xr:uid="{00000000-0005-0000-0000-00001A070000}"/>
    <cellStyle name="Output 2 9 4 2" xfId="1249" xr:uid="{00000000-0005-0000-0000-00001B070000}"/>
    <cellStyle name="Output 2 9 4 3" xfId="2096" xr:uid="{00000000-0005-0000-0000-00001C070000}"/>
    <cellStyle name="Output 2 9 5" xfId="993" xr:uid="{00000000-0005-0000-0000-00001D070000}"/>
    <cellStyle name="Output 2 9 6" xfId="1200" xr:uid="{00000000-0005-0000-0000-00001E070000}"/>
    <cellStyle name="Percent" xfId="6" builtinId="5"/>
    <cellStyle name="Percent 2" xfId="3" xr:uid="{00000000-0005-0000-0000-000020070000}"/>
    <cellStyle name="Percent 2 2" xfId="164" xr:uid="{00000000-0005-0000-0000-000021070000}"/>
    <cellStyle name="Percent 2 3" xfId="120" xr:uid="{00000000-0005-0000-0000-000022070000}"/>
    <cellStyle name="Percent 3" xfId="163" xr:uid="{00000000-0005-0000-0000-000023070000}"/>
    <cellStyle name="Percent 4" xfId="288" xr:uid="{00000000-0005-0000-0000-000024070000}"/>
    <cellStyle name="Source Hed" xfId="289" xr:uid="{00000000-0005-0000-0000-000025070000}"/>
    <cellStyle name="Source Superscript" xfId="290" xr:uid="{00000000-0005-0000-0000-000026070000}"/>
    <cellStyle name="Source Text" xfId="291" xr:uid="{00000000-0005-0000-0000-000027070000}"/>
    <cellStyle name="Superscript" xfId="292" xr:uid="{00000000-0005-0000-0000-000028070000}"/>
    <cellStyle name="Superscript 2" xfId="293" xr:uid="{00000000-0005-0000-0000-000029070000}"/>
    <cellStyle name="Superscript 2 2" xfId="757" xr:uid="{00000000-0005-0000-0000-00002A070000}"/>
    <cellStyle name="Superscript 2 2 2" xfId="1462" xr:uid="{00000000-0005-0000-0000-00002B070000}"/>
    <cellStyle name="Superscript 2 3" xfId="765" xr:uid="{00000000-0005-0000-0000-00002C070000}"/>
    <cellStyle name="Superscript 2 3 2" xfId="1470" xr:uid="{00000000-0005-0000-0000-00002D070000}"/>
    <cellStyle name="Superscript 2 4" xfId="997" xr:uid="{00000000-0005-0000-0000-00002E070000}"/>
    <cellStyle name="Superscript 3" xfId="410" xr:uid="{00000000-0005-0000-0000-00002F070000}"/>
    <cellStyle name="Superscript 3 2" xfId="717" xr:uid="{00000000-0005-0000-0000-000030070000}"/>
    <cellStyle name="Superscript 3 2 2" xfId="1422" xr:uid="{00000000-0005-0000-0000-000031070000}"/>
    <cellStyle name="Superscript 3 3" xfId="773" xr:uid="{00000000-0005-0000-0000-000032070000}"/>
    <cellStyle name="Superscript 3 3 2" xfId="1478" xr:uid="{00000000-0005-0000-0000-000033070000}"/>
    <cellStyle name="Superscript 3 4" xfId="1121" xr:uid="{00000000-0005-0000-0000-000034070000}"/>
    <cellStyle name="Superscript 4" xfId="749" xr:uid="{00000000-0005-0000-0000-000035070000}"/>
    <cellStyle name="Superscript 4 2" xfId="1454" xr:uid="{00000000-0005-0000-0000-000036070000}"/>
    <cellStyle name="Superscript 5" xfId="996" xr:uid="{00000000-0005-0000-0000-000037070000}"/>
    <cellStyle name="Superscript- regular" xfId="294" xr:uid="{00000000-0005-0000-0000-000038070000}"/>
    <cellStyle name="Superscript- regular 2" xfId="295" xr:uid="{00000000-0005-0000-0000-000039070000}"/>
    <cellStyle name="Superscript- regular 2 2" xfId="758" xr:uid="{00000000-0005-0000-0000-00003A070000}"/>
    <cellStyle name="Superscript- regular 2 2 2" xfId="1463" xr:uid="{00000000-0005-0000-0000-00003B070000}"/>
    <cellStyle name="Superscript- regular 2 3" xfId="766" xr:uid="{00000000-0005-0000-0000-00003C070000}"/>
    <cellStyle name="Superscript- regular 2 3 2" xfId="1471" xr:uid="{00000000-0005-0000-0000-00003D070000}"/>
    <cellStyle name="Superscript- regular 2 4" xfId="999" xr:uid="{00000000-0005-0000-0000-00003E070000}"/>
    <cellStyle name="Superscript- regular 3" xfId="411" xr:uid="{00000000-0005-0000-0000-00003F070000}"/>
    <cellStyle name="Superscript- regular 3 2" xfId="718" xr:uid="{00000000-0005-0000-0000-000040070000}"/>
    <cellStyle name="Superscript- regular 3 2 2" xfId="1423" xr:uid="{00000000-0005-0000-0000-000041070000}"/>
    <cellStyle name="Superscript- regular 3 3" xfId="774" xr:uid="{00000000-0005-0000-0000-000042070000}"/>
    <cellStyle name="Superscript- regular 3 3 2" xfId="1479" xr:uid="{00000000-0005-0000-0000-000043070000}"/>
    <cellStyle name="Superscript- regular 3 4" xfId="1122" xr:uid="{00000000-0005-0000-0000-000044070000}"/>
    <cellStyle name="Superscript- regular 4" xfId="750" xr:uid="{00000000-0005-0000-0000-000045070000}"/>
    <cellStyle name="Superscript- regular 4 2" xfId="1455" xr:uid="{00000000-0005-0000-0000-000046070000}"/>
    <cellStyle name="Superscript- regular 5" xfId="998" xr:uid="{00000000-0005-0000-0000-000047070000}"/>
    <cellStyle name="Superscript_1-43A" xfId="296" xr:uid="{00000000-0005-0000-0000-000048070000}"/>
    <cellStyle name="Table Data" xfId="297" xr:uid="{00000000-0005-0000-0000-000049070000}"/>
    <cellStyle name="Table Head Top" xfId="298" xr:uid="{00000000-0005-0000-0000-00004A070000}"/>
    <cellStyle name="Table Hed Side" xfId="299" xr:uid="{00000000-0005-0000-0000-00004B070000}"/>
    <cellStyle name="Table Hed Side 2" xfId="1000" xr:uid="{00000000-0005-0000-0000-00004C070000}"/>
    <cellStyle name="Table Title" xfId="300" xr:uid="{00000000-0005-0000-0000-00004D070000}"/>
    <cellStyle name="Title" xfId="79" builtinId="15" customBuiltin="1"/>
    <cellStyle name="Title 2" xfId="165" xr:uid="{00000000-0005-0000-0000-00004F070000}"/>
    <cellStyle name="Title Text" xfId="301" xr:uid="{00000000-0005-0000-0000-000050070000}"/>
    <cellStyle name="Title Text 1" xfId="302" xr:uid="{00000000-0005-0000-0000-000051070000}"/>
    <cellStyle name="Title Text 2" xfId="303" xr:uid="{00000000-0005-0000-0000-000052070000}"/>
    <cellStyle name="Title-1" xfId="304" xr:uid="{00000000-0005-0000-0000-000053070000}"/>
    <cellStyle name="Title-2" xfId="305" xr:uid="{00000000-0005-0000-0000-000054070000}"/>
    <cellStyle name="Title-3" xfId="306" xr:uid="{00000000-0005-0000-0000-000055070000}"/>
    <cellStyle name="Total" xfId="94" builtinId="25" customBuiltin="1"/>
    <cellStyle name="Total 2" xfId="166" xr:uid="{00000000-0005-0000-0000-000057070000}"/>
    <cellStyle name="Total 2 10" xfId="307" xr:uid="{00000000-0005-0000-0000-000058070000}"/>
    <cellStyle name="Total 2 10 2" xfId="308" xr:uid="{00000000-0005-0000-0000-000059070000}"/>
    <cellStyle name="Total 2 10 2 2" xfId="441" xr:uid="{00000000-0005-0000-0000-00005A070000}"/>
    <cellStyle name="Total 2 10 2 2 2" xfId="719" xr:uid="{00000000-0005-0000-0000-00005B070000}"/>
    <cellStyle name="Total 2 10 2 2 2 2" xfId="1424" xr:uid="{00000000-0005-0000-0000-00005C070000}"/>
    <cellStyle name="Total 2 10 2 2 2 3" xfId="1862" xr:uid="{00000000-0005-0000-0000-00005D070000}"/>
    <cellStyle name="Total 2 10 2 2 2 4" xfId="2264" xr:uid="{00000000-0005-0000-0000-00005E070000}"/>
    <cellStyle name="Total 2 10 2 2 3" xfId="1152" xr:uid="{00000000-0005-0000-0000-00005F070000}"/>
    <cellStyle name="Total 2 10 2 2 4" xfId="1639" xr:uid="{00000000-0005-0000-0000-000060070000}"/>
    <cellStyle name="Total 2 10 2 2 5" xfId="2003" xr:uid="{00000000-0005-0000-0000-000061070000}"/>
    <cellStyle name="Total 2 10 2 3" xfId="570" xr:uid="{00000000-0005-0000-0000-000062070000}"/>
    <cellStyle name="Total 2 10 2 3 2" xfId="1276" xr:uid="{00000000-0005-0000-0000-000063070000}"/>
    <cellStyle name="Total 2 10 2 3 3" xfId="1745" xr:uid="{00000000-0005-0000-0000-000064070000}"/>
    <cellStyle name="Total 2 10 2 3 4" xfId="2123" xr:uid="{00000000-0005-0000-0000-000065070000}"/>
    <cellStyle name="Total 2 10 2 4" xfId="1002" xr:uid="{00000000-0005-0000-0000-000066070000}"/>
    <cellStyle name="Total 2 10 2 5" xfId="1529" xr:uid="{00000000-0005-0000-0000-000067070000}"/>
    <cellStyle name="Total 2 10 2 6" xfId="945" xr:uid="{00000000-0005-0000-0000-000068070000}"/>
    <cellStyle name="Total 2 10 3" xfId="412" xr:uid="{00000000-0005-0000-0000-000069070000}"/>
    <cellStyle name="Total 2 10 3 2" xfId="720" xr:uid="{00000000-0005-0000-0000-00006A070000}"/>
    <cellStyle name="Total 2 10 3 2 2" xfId="1425" xr:uid="{00000000-0005-0000-0000-00006B070000}"/>
    <cellStyle name="Total 2 10 3 2 3" xfId="1863" xr:uid="{00000000-0005-0000-0000-00006C070000}"/>
    <cellStyle name="Total 2 10 3 2 4" xfId="2265" xr:uid="{00000000-0005-0000-0000-00006D070000}"/>
    <cellStyle name="Total 2 10 3 3" xfId="1123" xr:uid="{00000000-0005-0000-0000-00006E070000}"/>
    <cellStyle name="Total 2 10 3 4" xfId="1614" xr:uid="{00000000-0005-0000-0000-00006F070000}"/>
    <cellStyle name="Total 2 10 3 5" xfId="1977" xr:uid="{00000000-0005-0000-0000-000070070000}"/>
    <cellStyle name="Total 2 10 4" xfId="543" xr:uid="{00000000-0005-0000-0000-000071070000}"/>
    <cellStyle name="Total 2 10 4 2" xfId="1250" xr:uid="{00000000-0005-0000-0000-000072070000}"/>
    <cellStyle name="Total 2 10 4 3" xfId="1720" xr:uid="{00000000-0005-0000-0000-000073070000}"/>
    <cellStyle name="Total 2 10 4 4" xfId="2097" xr:uid="{00000000-0005-0000-0000-000074070000}"/>
    <cellStyle name="Total 2 10 5" xfId="1001" xr:uid="{00000000-0005-0000-0000-000075070000}"/>
    <cellStyle name="Total 2 10 6" xfId="1528" xr:uid="{00000000-0005-0000-0000-000076070000}"/>
    <cellStyle name="Total 2 10 7" xfId="874" xr:uid="{00000000-0005-0000-0000-000077070000}"/>
    <cellStyle name="Total 2 11" xfId="309" xr:uid="{00000000-0005-0000-0000-000078070000}"/>
    <cellStyle name="Total 2 11 2" xfId="310" xr:uid="{00000000-0005-0000-0000-000079070000}"/>
    <cellStyle name="Total 2 11 2 2" xfId="461" xr:uid="{00000000-0005-0000-0000-00007A070000}"/>
    <cellStyle name="Total 2 11 2 2 2" xfId="721" xr:uid="{00000000-0005-0000-0000-00007B070000}"/>
    <cellStyle name="Total 2 11 2 2 2 2" xfId="1426" xr:uid="{00000000-0005-0000-0000-00007C070000}"/>
    <cellStyle name="Total 2 11 2 2 2 3" xfId="1864" xr:uid="{00000000-0005-0000-0000-00007D070000}"/>
    <cellStyle name="Total 2 11 2 2 2 4" xfId="2266" xr:uid="{00000000-0005-0000-0000-00007E070000}"/>
    <cellStyle name="Total 2 11 2 2 3" xfId="1172" xr:uid="{00000000-0005-0000-0000-00007F070000}"/>
    <cellStyle name="Total 2 11 2 2 4" xfId="1656" xr:uid="{00000000-0005-0000-0000-000080070000}"/>
    <cellStyle name="Total 2 11 2 2 5" xfId="2023" xr:uid="{00000000-0005-0000-0000-000081070000}"/>
    <cellStyle name="Total 2 11 2 3" xfId="590" xr:uid="{00000000-0005-0000-0000-000082070000}"/>
    <cellStyle name="Total 2 11 2 3 2" xfId="1296" xr:uid="{00000000-0005-0000-0000-000083070000}"/>
    <cellStyle name="Total 2 11 2 3 3" xfId="1762" xr:uid="{00000000-0005-0000-0000-000084070000}"/>
    <cellStyle name="Total 2 11 2 3 4" xfId="2143" xr:uid="{00000000-0005-0000-0000-000085070000}"/>
    <cellStyle name="Total 2 11 2 4" xfId="1004" xr:uid="{00000000-0005-0000-0000-000086070000}"/>
    <cellStyle name="Total 2 11 2 5" xfId="1531" xr:uid="{00000000-0005-0000-0000-000087070000}"/>
    <cellStyle name="Total 2 11 2 6" xfId="1060" xr:uid="{00000000-0005-0000-0000-000088070000}"/>
    <cellStyle name="Total 2 11 3" xfId="413" xr:uid="{00000000-0005-0000-0000-000089070000}"/>
    <cellStyle name="Total 2 11 3 2" xfId="722" xr:uid="{00000000-0005-0000-0000-00008A070000}"/>
    <cellStyle name="Total 2 11 3 2 2" xfId="1427" xr:uid="{00000000-0005-0000-0000-00008B070000}"/>
    <cellStyle name="Total 2 11 3 2 3" xfId="1865" xr:uid="{00000000-0005-0000-0000-00008C070000}"/>
    <cellStyle name="Total 2 11 3 2 4" xfId="2267" xr:uid="{00000000-0005-0000-0000-00008D070000}"/>
    <cellStyle name="Total 2 11 3 3" xfId="1124" xr:uid="{00000000-0005-0000-0000-00008E070000}"/>
    <cellStyle name="Total 2 11 3 4" xfId="1615" xr:uid="{00000000-0005-0000-0000-00008F070000}"/>
    <cellStyle name="Total 2 11 3 5" xfId="1978" xr:uid="{00000000-0005-0000-0000-000090070000}"/>
    <cellStyle name="Total 2 11 4" xfId="544" xr:uid="{00000000-0005-0000-0000-000091070000}"/>
    <cellStyle name="Total 2 11 4 2" xfId="1251" xr:uid="{00000000-0005-0000-0000-000092070000}"/>
    <cellStyle name="Total 2 11 4 3" xfId="1721" xr:uid="{00000000-0005-0000-0000-000093070000}"/>
    <cellStyle name="Total 2 11 4 4" xfId="2098" xr:uid="{00000000-0005-0000-0000-000094070000}"/>
    <cellStyle name="Total 2 11 5" xfId="1003" xr:uid="{00000000-0005-0000-0000-000095070000}"/>
    <cellStyle name="Total 2 11 6" xfId="1530" xr:uid="{00000000-0005-0000-0000-000096070000}"/>
    <cellStyle name="Total 2 11 7" xfId="881" xr:uid="{00000000-0005-0000-0000-000097070000}"/>
    <cellStyle name="Total 2 12" xfId="311" xr:uid="{00000000-0005-0000-0000-000098070000}"/>
    <cellStyle name="Total 2 12 2" xfId="312" xr:uid="{00000000-0005-0000-0000-000099070000}"/>
    <cellStyle name="Total 2 12 2 2" xfId="451" xr:uid="{00000000-0005-0000-0000-00009A070000}"/>
    <cellStyle name="Total 2 12 2 2 2" xfId="723" xr:uid="{00000000-0005-0000-0000-00009B070000}"/>
    <cellStyle name="Total 2 12 2 2 2 2" xfId="1428" xr:uid="{00000000-0005-0000-0000-00009C070000}"/>
    <cellStyle name="Total 2 12 2 2 2 3" xfId="1866" xr:uid="{00000000-0005-0000-0000-00009D070000}"/>
    <cellStyle name="Total 2 12 2 2 2 4" xfId="2268" xr:uid="{00000000-0005-0000-0000-00009E070000}"/>
    <cellStyle name="Total 2 12 2 2 3" xfId="1162" xr:uid="{00000000-0005-0000-0000-00009F070000}"/>
    <cellStyle name="Total 2 12 2 2 4" xfId="1646" xr:uid="{00000000-0005-0000-0000-0000A0070000}"/>
    <cellStyle name="Total 2 12 2 2 5" xfId="2013" xr:uid="{00000000-0005-0000-0000-0000A1070000}"/>
    <cellStyle name="Total 2 12 2 3" xfId="580" xr:uid="{00000000-0005-0000-0000-0000A2070000}"/>
    <cellStyle name="Total 2 12 2 3 2" xfId="1286" xr:uid="{00000000-0005-0000-0000-0000A3070000}"/>
    <cellStyle name="Total 2 12 2 3 3" xfId="1752" xr:uid="{00000000-0005-0000-0000-0000A4070000}"/>
    <cellStyle name="Total 2 12 2 3 4" xfId="2133" xr:uid="{00000000-0005-0000-0000-0000A5070000}"/>
    <cellStyle name="Total 2 12 2 4" xfId="1006" xr:uid="{00000000-0005-0000-0000-0000A6070000}"/>
    <cellStyle name="Total 2 12 2 5" xfId="1533" xr:uid="{00000000-0005-0000-0000-0000A7070000}"/>
    <cellStyle name="Total 2 12 2 6" xfId="946" xr:uid="{00000000-0005-0000-0000-0000A8070000}"/>
    <cellStyle name="Total 2 12 3" xfId="414" xr:uid="{00000000-0005-0000-0000-0000A9070000}"/>
    <cellStyle name="Total 2 12 3 2" xfId="724" xr:uid="{00000000-0005-0000-0000-0000AA070000}"/>
    <cellStyle name="Total 2 12 3 2 2" xfId="1429" xr:uid="{00000000-0005-0000-0000-0000AB070000}"/>
    <cellStyle name="Total 2 12 3 2 3" xfId="1867" xr:uid="{00000000-0005-0000-0000-0000AC070000}"/>
    <cellStyle name="Total 2 12 3 2 4" xfId="2269" xr:uid="{00000000-0005-0000-0000-0000AD070000}"/>
    <cellStyle name="Total 2 12 3 3" xfId="1125" xr:uid="{00000000-0005-0000-0000-0000AE070000}"/>
    <cellStyle name="Total 2 12 3 4" xfId="1616" xr:uid="{00000000-0005-0000-0000-0000AF070000}"/>
    <cellStyle name="Total 2 12 3 5" xfId="1979" xr:uid="{00000000-0005-0000-0000-0000B0070000}"/>
    <cellStyle name="Total 2 12 4" xfId="545" xr:uid="{00000000-0005-0000-0000-0000B1070000}"/>
    <cellStyle name="Total 2 12 4 2" xfId="1252" xr:uid="{00000000-0005-0000-0000-0000B2070000}"/>
    <cellStyle name="Total 2 12 4 3" xfId="1722" xr:uid="{00000000-0005-0000-0000-0000B3070000}"/>
    <cellStyle name="Total 2 12 4 4" xfId="2099" xr:uid="{00000000-0005-0000-0000-0000B4070000}"/>
    <cellStyle name="Total 2 12 5" xfId="1005" xr:uid="{00000000-0005-0000-0000-0000B5070000}"/>
    <cellStyle name="Total 2 12 6" xfId="1532" xr:uid="{00000000-0005-0000-0000-0000B6070000}"/>
    <cellStyle name="Total 2 12 7" xfId="807" xr:uid="{00000000-0005-0000-0000-0000B7070000}"/>
    <cellStyle name="Total 2 13" xfId="313" xr:uid="{00000000-0005-0000-0000-0000B8070000}"/>
    <cellStyle name="Total 2 13 2" xfId="438" xr:uid="{00000000-0005-0000-0000-0000B9070000}"/>
    <cellStyle name="Total 2 13 2 2" xfId="725" xr:uid="{00000000-0005-0000-0000-0000BA070000}"/>
    <cellStyle name="Total 2 13 2 2 2" xfId="1430" xr:uid="{00000000-0005-0000-0000-0000BB070000}"/>
    <cellStyle name="Total 2 13 2 2 3" xfId="1868" xr:uid="{00000000-0005-0000-0000-0000BC070000}"/>
    <cellStyle name="Total 2 13 2 2 4" xfId="2270" xr:uid="{00000000-0005-0000-0000-0000BD070000}"/>
    <cellStyle name="Total 2 13 2 3" xfId="1149" xr:uid="{00000000-0005-0000-0000-0000BE070000}"/>
    <cellStyle name="Total 2 13 2 4" xfId="1636" xr:uid="{00000000-0005-0000-0000-0000BF070000}"/>
    <cellStyle name="Total 2 13 2 5" xfId="2000" xr:uid="{00000000-0005-0000-0000-0000C0070000}"/>
    <cellStyle name="Total 2 13 3" xfId="567" xr:uid="{00000000-0005-0000-0000-0000C1070000}"/>
    <cellStyle name="Total 2 13 3 2" xfId="1273" xr:uid="{00000000-0005-0000-0000-0000C2070000}"/>
    <cellStyle name="Total 2 13 3 3" xfId="1742" xr:uid="{00000000-0005-0000-0000-0000C3070000}"/>
    <cellStyle name="Total 2 13 3 4" xfId="2120" xr:uid="{00000000-0005-0000-0000-0000C4070000}"/>
    <cellStyle name="Total 2 13 4" xfId="1007" xr:uid="{00000000-0005-0000-0000-0000C5070000}"/>
    <cellStyle name="Total 2 13 5" xfId="1534" xr:uid="{00000000-0005-0000-0000-0000C6070000}"/>
    <cellStyle name="Total 2 13 6" xfId="905" xr:uid="{00000000-0005-0000-0000-0000C7070000}"/>
    <cellStyle name="Total 2 14" xfId="359" xr:uid="{00000000-0005-0000-0000-0000C8070000}"/>
    <cellStyle name="Total 2 14 2" xfId="726" xr:uid="{00000000-0005-0000-0000-0000C9070000}"/>
    <cellStyle name="Total 2 14 2 2" xfId="1431" xr:uid="{00000000-0005-0000-0000-0000CA070000}"/>
    <cellStyle name="Total 2 14 2 3" xfId="1869" xr:uid="{00000000-0005-0000-0000-0000CB070000}"/>
    <cellStyle name="Total 2 14 2 4" xfId="2271" xr:uid="{00000000-0005-0000-0000-0000CC070000}"/>
    <cellStyle name="Total 2 14 3" xfId="1070" xr:uid="{00000000-0005-0000-0000-0000CD070000}"/>
    <cellStyle name="Total 2 14 4" xfId="1572" xr:uid="{00000000-0005-0000-0000-0000CE070000}"/>
    <cellStyle name="Total 2 14 5" xfId="1932" xr:uid="{00000000-0005-0000-0000-0000CF070000}"/>
    <cellStyle name="Total 2 15" xfId="498" xr:uid="{00000000-0005-0000-0000-0000D0070000}"/>
    <cellStyle name="Total 2 15 2" xfId="1205" xr:uid="{00000000-0005-0000-0000-0000D1070000}"/>
    <cellStyle name="Total 2 15 3" xfId="1686" xr:uid="{00000000-0005-0000-0000-0000D2070000}"/>
    <cellStyle name="Total 2 15 4" xfId="2052" xr:uid="{00000000-0005-0000-0000-0000D3070000}"/>
    <cellStyle name="Total 2 16" xfId="795" xr:uid="{00000000-0005-0000-0000-0000D4070000}"/>
    <cellStyle name="Total 2 16 2" xfId="1493" xr:uid="{00000000-0005-0000-0000-0000D5070000}"/>
    <cellStyle name="Total 2 16 3" xfId="1916" xr:uid="{00000000-0005-0000-0000-0000D6070000}"/>
    <cellStyle name="Total 2 16 4" xfId="2299" xr:uid="{00000000-0005-0000-0000-0000D7070000}"/>
    <cellStyle name="Total 2 17" xfId="789" xr:uid="{00000000-0005-0000-0000-0000D8070000}"/>
    <cellStyle name="Total 2 17 2" xfId="1487" xr:uid="{00000000-0005-0000-0000-0000D9070000}"/>
    <cellStyle name="Total 2 17 3" xfId="1910" xr:uid="{00000000-0005-0000-0000-0000DA070000}"/>
    <cellStyle name="Total 2 17 4" xfId="2293" xr:uid="{00000000-0005-0000-0000-0000DB070000}"/>
    <cellStyle name="Total 2 18" xfId="801" xr:uid="{00000000-0005-0000-0000-0000DC070000}"/>
    <cellStyle name="Total 2 18 2" xfId="1499" xr:uid="{00000000-0005-0000-0000-0000DD070000}"/>
    <cellStyle name="Total 2 18 3" xfId="1922" xr:uid="{00000000-0005-0000-0000-0000DE070000}"/>
    <cellStyle name="Total 2 18 4" xfId="2305" xr:uid="{00000000-0005-0000-0000-0000DF070000}"/>
    <cellStyle name="Total 2 19" xfId="880" xr:uid="{00000000-0005-0000-0000-0000E0070000}"/>
    <cellStyle name="Total 2 19 2" xfId="832" xr:uid="{00000000-0005-0000-0000-0000E1070000}"/>
    <cellStyle name="Total 2 19 3" xfId="1568" xr:uid="{00000000-0005-0000-0000-0000E2070000}"/>
    <cellStyle name="Total 2 2" xfId="314" xr:uid="{00000000-0005-0000-0000-0000E3070000}"/>
    <cellStyle name="Total 2 2 2" xfId="315" xr:uid="{00000000-0005-0000-0000-0000E4070000}"/>
    <cellStyle name="Total 2 2 2 2" xfId="439" xr:uid="{00000000-0005-0000-0000-0000E5070000}"/>
    <cellStyle name="Total 2 2 2 2 2" xfId="727" xr:uid="{00000000-0005-0000-0000-0000E6070000}"/>
    <cellStyle name="Total 2 2 2 2 2 2" xfId="1432" xr:uid="{00000000-0005-0000-0000-0000E7070000}"/>
    <cellStyle name="Total 2 2 2 2 2 3" xfId="1870" xr:uid="{00000000-0005-0000-0000-0000E8070000}"/>
    <cellStyle name="Total 2 2 2 2 2 4" xfId="2272" xr:uid="{00000000-0005-0000-0000-0000E9070000}"/>
    <cellStyle name="Total 2 2 2 2 3" xfId="1150" xr:uid="{00000000-0005-0000-0000-0000EA070000}"/>
    <cellStyle name="Total 2 2 2 2 4" xfId="1637" xr:uid="{00000000-0005-0000-0000-0000EB070000}"/>
    <cellStyle name="Total 2 2 2 2 5" xfId="2001" xr:uid="{00000000-0005-0000-0000-0000EC070000}"/>
    <cellStyle name="Total 2 2 2 3" xfId="568" xr:uid="{00000000-0005-0000-0000-0000ED070000}"/>
    <cellStyle name="Total 2 2 2 3 2" xfId="1274" xr:uid="{00000000-0005-0000-0000-0000EE070000}"/>
    <cellStyle name="Total 2 2 2 3 3" xfId="1743" xr:uid="{00000000-0005-0000-0000-0000EF070000}"/>
    <cellStyle name="Total 2 2 2 3 4" xfId="2121" xr:uid="{00000000-0005-0000-0000-0000F0070000}"/>
    <cellStyle name="Total 2 2 2 4" xfId="1009" xr:uid="{00000000-0005-0000-0000-0000F1070000}"/>
    <cellStyle name="Total 2 2 2 5" xfId="1536" xr:uid="{00000000-0005-0000-0000-0000F2070000}"/>
    <cellStyle name="Total 2 2 2 6" xfId="836" xr:uid="{00000000-0005-0000-0000-0000F3070000}"/>
    <cellStyle name="Total 2 2 3" xfId="415" xr:uid="{00000000-0005-0000-0000-0000F4070000}"/>
    <cellStyle name="Total 2 2 3 2" xfId="728" xr:uid="{00000000-0005-0000-0000-0000F5070000}"/>
    <cellStyle name="Total 2 2 3 2 2" xfId="1433" xr:uid="{00000000-0005-0000-0000-0000F6070000}"/>
    <cellStyle name="Total 2 2 3 2 3" xfId="1871" xr:uid="{00000000-0005-0000-0000-0000F7070000}"/>
    <cellStyle name="Total 2 2 3 2 4" xfId="2273" xr:uid="{00000000-0005-0000-0000-0000F8070000}"/>
    <cellStyle name="Total 2 2 3 3" xfId="1126" xr:uid="{00000000-0005-0000-0000-0000F9070000}"/>
    <cellStyle name="Total 2 2 3 4" xfId="1617" xr:uid="{00000000-0005-0000-0000-0000FA070000}"/>
    <cellStyle name="Total 2 2 3 5" xfId="1980" xr:uid="{00000000-0005-0000-0000-0000FB070000}"/>
    <cellStyle name="Total 2 2 4" xfId="546" xr:uid="{00000000-0005-0000-0000-0000FC070000}"/>
    <cellStyle name="Total 2 2 4 2" xfId="1253" xr:uid="{00000000-0005-0000-0000-0000FD070000}"/>
    <cellStyle name="Total 2 2 4 3" xfId="1723" xr:uid="{00000000-0005-0000-0000-0000FE070000}"/>
    <cellStyle name="Total 2 2 4 4" xfId="2100" xr:uid="{00000000-0005-0000-0000-0000FF070000}"/>
    <cellStyle name="Total 2 2 5" xfId="800" xr:uid="{00000000-0005-0000-0000-000000080000}"/>
    <cellStyle name="Total 2 2 5 2" xfId="1498" xr:uid="{00000000-0005-0000-0000-000001080000}"/>
    <cellStyle name="Total 2 2 5 3" xfId="1921" xr:uid="{00000000-0005-0000-0000-000002080000}"/>
    <cellStyle name="Total 2 2 5 4" xfId="2304" xr:uid="{00000000-0005-0000-0000-000003080000}"/>
    <cellStyle name="Total 2 2 6" xfId="806" xr:uid="{00000000-0005-0000-0000-000004080000}"/>
    <cellStyle name="Total 2 2 6 2" xfId="1504" xr:uid="{00000000-0005-0000-0000-000005080000}"/>
    <cellStyle name="Total 2 2 6 3" xfId="1927" xr:uid="{00000000-0005-0000-0000-000006080000}"/>
    <cellStyle name="Total 2 2 6 4" xfId="2310" xr:uid="{00000000-0005-0000-0000-000007080000}"/>
    <cellStyle name="Total 2 2 7" xfId="1008" xr:uid="{00000000-0005-0000-0000-000008080000}"/>
    <cellStyle name="Total 2 2 7 2" xfId="1535" xr:uid="{00000000-0005-0000-0000-000009080000}"/>
    <cellStyle name="Total 2 2 7 3" xfId="1049" xr:uid="{00000000-0005-0000-0000-00000A080000}"/>
    <cellStyle name="Total 2 2 8" xfId="852" xr:uid="{00000000-0005-0000-0000-00000B080000}"/>
    <cellStyle name="Total 2 2 9" xfId="1525" xr:uid="{00000000-0005-0000-0000-00000C080000}"/>
    <cellStyle name="Total 2 20" xfId="845" xr:uid="{00000000-0005-0000-0000-00000D080000}"/>
    <cellStyle name="Total 2 21" xfId="942" xr:uid="{00000000-0005-0000-0000-00000E080000}"/>
    <cellStyle name="Total 2 22" xfId="1527" xr:uid="{00000000-0005-0000-0000-00000F080000}"/>
    <cellStyle name="Total 2 3" xfId="316" xr:uid="{00000000-0005-0000-0000-000010080000}"/>
    <cellStyle name="Total 2 3 2" xfId="317" xr:uid="{00000000-0005-0000-0000-000011080000}"/>
    <cellStyle name="Total 2 3 2 2" xfId="440" xr:uid="{00000000-0005-0000-0000-000012080000}"/>
    <cellStyle name="Total 2 3 2 2 2" xfId="729" xr:uid="{00000000-0005-0000-0000-000013080000}"/>
    <cellStyle name="Total 2 3 2 2 2 2" xfId="1434" xr:uid="{00000000-0005-0000-0000-000014080000}"/>
    <cellStyle name="Total 2 3 2 2 2 3" xfId="1872" xr:uid="{00000000-0005-0000-0000-000015080000}"/>
    <cellStyle name="Total 2 3 2 2 2 4" xfId="2274" xr:uid="{00000000-0005-0000-0000-000016080000}"/>
    <cellStyle name="Total 2 3 2 2 3" xfId="1151" xr:uid="{00000000-0005-0000-0000-000017080000}"/>
    <cellStyle name="Total 2 3 2 2 4" xfId="1638" xr:uid="{00000000-0005-0000-0000-000018080000}"/>
    <cellStyle name="Total 2 3 2 2 5" xfId="2002" xr:uid="{00000000-0005-0000-0000-000019080000}"/>
    <cellStyle name="Total 2 3 2 3" xfId="569" xr:uid="{00000000-0005-0000-0000-00001A080000}"/>
    <cellStyle name="Total 2 3 2 3 2" xfId="1275" xr:uid="{00000000-0005-0000-0000-00001B080000}"/>
    <cellStyle name="Total 2 3 2 3 3" xfId="1744" xr:uid="{00000000-0005-0000-0000-00001C080000}"/>
    <cellStyle name="Total 2 3 2 3 4" xfId="2122" xr:uid="{00000000-0005-0000-0000-00001D080000}"/>
    <cellStyle name="Total 2 3 2 4" xfId="1011" xr:uid="{00000000-0005-0000-0000-00001E080000}"/>
    <cellStyle name="Total 2 3 2 5" xfId="1538" xr:uid="{00000000-0005-0000-0000-00001F080000}"/>
    <cellStyle name="Total 2 3 2 6" xfId="847" xr:uid="{00000000-0005-0000-0000-000020080000}"/>
    <cellStyle name="Total 2 3 3" xfId="416" xr:uid="{00000000-0005-0000-0000-000021080000}"/>
    <cellStyle name="Total 2 3 3 2" xfId="730" xr:uid="{00000000-0005-0000-0000-000022080000}"/>
    <cellStyle name="Total 2 3 3 2 2" xfId="1435" xr:uid="{00000000-0005-0000-0000-000023080000}"/>
    <cellStyle name="Total 2 3 3 2 3" xfId="1873" xr:uid="{00000000-0005-0000-0000-000024080000}"/>
    <cellStyle name="Total 2 3 3 2 4" xfId="2275" xr:uid="{00000000-0005-0000-0000-000025080000}"/>
    <cellStyle name="Total 2 3 3 3" xfId="1127" xr:uid="{00000000-0005-0000-0000-000026080000}"/>
    <cellStyle name="Total 2 3 3 4" xfId="1618" xr:uid="{00000000-0005-0000-0000-000027080000}"/>
    <cellStyle name="Total 2 3 3 5" xfId="1981" xr:uid="{00000000-0005-0000-0000-000028080000}"/>
    <cellStyle name="Total 2 3 4" xfId="547" xr:uid="{00000000-0005-0000-0000-000029080000}"/>
    <cellStyle name="Total 2 3 4 2" xfId="1254" xr:uid="{00000000-0005-0000-0000-00002A080000}"/>
    <cellStyle name="Total 2 3 4 3" xfId="1724" xr:uid="{00000000-0005-0000-0000-00002B080000}"/>
    <cellStyle name="Total 2 3 4 4" xfId="2101" xr:uid="{00000000-0005-0000-0000-00002C080000}"/>
    <cellStyle name="Total 2 3 5" xfId="1010" xr:uid="{00000000-0005-0000-0000-00002D080000}"/>
    <cellStyle name="Total 2 3 6" xfId="1537" xr:uid="{00000000-0005-0000-0000-00002E080000}"/>
    <cellStyle name="Total 2 3 7" xfId="947" xr:uid="{00000000-0005-0000-0000-00002F080000}"/>
    <cellStyle name="Total 2 4" xfId="318" xr:uid="{00000000-0005-0000-0000-000030080000}"/>
    <cellStyle name="Total 2 4 2" xfId="319" xr:uid="{00000000-0005-0000-0000-000031080000}"/>
    <cellStyle name="Total 2 4 2 2" xfId="467" xr:uid="{00000000-0005-0000-0000-000032080000}"/>
    <cellStyle name="Total 2 4 2 2 2" xfId="731" xr:uid="{00000000-0005-0000-0000-000033080000}"/>
    <cellStyle name="Total 2 4 2 2 2 2" xfId="1436" xr:uid="{00000000-0005-0000-0000-000034080000}"/>
    <cellStyle name="Total 2 4 2 2 2 3" xfId="1874" xr:uid="{00000000-0005-0000-0000-000035080000}"/>
    <cellStyle name="Total 2 4 2 2 2 4" xfId="2276" xr:uid="{00000000-0005-0000-0000-000036080000}"/>
    <cellStyle name="Total 2 4 2 2 3" xfId="1178" xr:uid="{00000000-0005-0000-0000-000037080000}"/>
    <cellStyle name="Total 2 4 2 2 4" xfId="1660" xr:uid="{00000000-0005-0000-0000-000038080000}"/>
    <cellStyle name="Total 2 4 2 2 5" xfId="2029" xr:uid="{00000000-0005-0000-0000-000039080000}"/>
    <cellStyle name="Total 2 4 2 3" xfId="596" xr:uid="{00000000-0005-0000-0000-00003A080000}"/>
    <cellStyle name="Total 2 4 2 3 2" xfId="1302" xr:uid="{00000000-0005-0000-0000-00003B080000}"/>
    <cellStyle name="Total 2 4 2 3 3" xfId="1766" xr:uid="{00000000-0005-0000-0000-00003C080000}"/>
    <cellStyle name="Total 2 4 2 3 4" xfId="2149" xr:uid="{00000000-0005-0000-0000-00003D080000}"/>
    <cellStyle name="Total 2 4 2 4" xfId="1013" xr:uid="{00000000-0005-0000-0000-00003E080000}"/>
    <cellStyle name="Total 2 4 2 5" xfId="1540" xr:uid="{00000000-0005-0000-0000-00003F080000}"/>
    <cellStyle name="Total 2 4 2 6" xfId="1558" xr:uid="{00000000-0005-0000-0000-000040080000}"/>
    <cellStyle name="Total 2 4 3" xfId="417" xr:uid="{00000000-0005-0000-0000-000041080000}"/>
    <cellStyle name="Total 2 4 3 2" xfId="732" xr:uid="{00000000-0005-0000-0000-000042080000}"/>
    <cellStyle name="Total 2 4 3 2 2" xfId="1437" xr:uid="{00000000-0005-0000-0000-000043080000}"/>
    <cellStyle name="Total 2 4 3 2 3" xfId="1875" xr:uid="{00000000-0005-0000-0000-000044080000}"/>
    <cellStyle name="Total 2 4 3 2 4" xfId="2277" xr:uid="{00000000-0005-0000-0000-000045080000}"/>
    <cellStyle name="Total 2 4 3 3" xfId="1128" xr:uid="{00000000-0005-0000-0000-000046080000}"/>
    <cellStyle name="Total 2 4 3 4" xfId="1619" xr:uid="{00000000-0005-0000-0000-000047080000}"/>
    <cellStyle name="Total 2 4 3 5" xfId="1982" xr:uid="{00000000-0005-0000-0000-000048080000}"/>
    <cellStyle name="Total 2 4 4" xfId="548" xr:uid="{00000000-0005-0000-0000-000049080000}"/>
    <cellStyle name="Total 2 4 4 2" xfId="1255" xr:uid="{00000000-0005-0000-0000-00004A080000}"/>
    <cellStyle name="Total 2 4 4 3" xfId="1725" xr:uid="{00000000-0005-0000-0000-00004B080000}"/>
    <cellStyle name="Total 2 4 4 4" xfId="2102" xr:uid="{00000000-0005-0000-0000-00004C080000}"/>
    <cellStyle name="Total 2 4 5" xfId="1012" xr:uid="{00000000-0005-0000-0000-00004D080000}"/>
    <cellStyle name="Total 2 4 6" xfId="1539" xr:uid="{00000000-0005-0000-0000-00004E080000}"/>
    <cellStyle name="Total 2 4 7" xfId="1551" xr:uid="{00000000-0005-0000-0000-00004F080000}"/>
    <cellStyle name="Total 2 5" xfId="320" xr:uid="{00000000-0005-0000-0000-000050080000}"/>
    <cellStyle name="Total 2 5 2" xfId="321" xr:uid="{00000000-0005-0000-0000-000051080000}"/>
    <cellStyle name="Total 2 5 2 2" xfId="448" xr:uid="{00000000-0005-0000-0000-000052080000}"/>
    <cellStyle name="Total 2 5 2 2 2" xfId="733" xr:uid="{00000000-0005-0000-0000-000053080000}"/>
    <cellStyle name="Total 2 5 2 2 2 2" xfId="1438" xr:uid="{00000000-0005-0000-0000-000054080000}"/>
    <cellStyle name="Total 2 5 2 2 2 3" xfId="1876" xr:uid="{00000000-0005-0000-0000-000055080000}"/>
    <cellStyle name="Total 2 5 2 2 2 4" xfId="2278" xr:uid="{00000000-0005-0000-0000-000056080000}"/>
    <cellStyle name="Total 2 5 2 2 3" xfId="1159" xr:uid="{00000000-0005-0000-0000-000057080000}"/>
    <cellStyle name="Total 2 5 2 2 4" xfId="1644" xr:uid="{00000000-0005-0000-0000-000058080000}"/>
    <cellStyle name="Total 2 5 2 2 5" xfId="2010" xr:uid="{00000000-0005-0000-0000-000059080000}"/>
    <cellStyle name="Total 2 5 2 3" xfId="577" xr:uid="{00000000-0005-0000-0000-00005A080000}"/>
    <cellStyle name="Total 2 5 2 3 2" xfId="1283" xr:uid="{00000000-0005-0000-0000-00005B080000}"/>
    <cellStyle name="Total 2 5 2 3 3" xfId="1750" xr:uid="{00000000-0005-0000-0000-00005C080000}"/>
    <cellStyle name="Total 2 5 2 3 4" xfId="2130" xr:uid="{00000000-0005-0000-0000-00005D080000}"/>
    <cellStyle name="Total 2 5 2 4" xfId="1015" xr:uid="{00000000-0005-0000-0000-00005E080000}"/>
    <cellStyle name="Total 2 5 2 5" xfId="1542" xr:uid="{00000000-0005-0000-0000-00005F080000}"/>
    <cellStyle name="Total 2 5 2 6" xfId="1039" xr:uid="{00000000-0005-0000-0000-000060080000}"/>
    <cellStyle name="Total 2 5 3" xfId="418" xr:uid="{00000000-0005-0000-0000-000061080000}"/>
    <cellStyle name="Total 2 5 3 2" xfId="734" xr:uid="{00000000-0005-0000-0000-000062080000}"/>
    <cellStyle name="Total 2 5 3 2 2" xfId="1439" xr:uid="{00000000-0005-0000-0000-000063080000}"/>
    <cellStyle name="Total 2 5 3 2 3" xfId="1877" xr:uid="{00000000-0005-0000-0000-000064080000}"/>
    <cellStyle name="Total 2 5 3 2 4" xfId="2279" xr:uid="{00000000-0005-0000-0000-000065080000}"/>
    <cellStyle name="Total 2 5 3 3" xfId="1129" xr:uid="{00000000-0005-0000-0000-000066080000}"/>
    <cellStyle name="Total 2 5 3 4" xfId="1620" xr:uid="{00000000-0005-0000-0000-000067080000}"/>
    <cellStyle name="Total 2 5 3 5" xfId="1983" xr:uid="{00000000-0005-0000-0000-000068080000}"/>
    <cellStyle name="Total 2 5 4" xfId="549" xr:uid="{00000000-0005-0000-0000-000069080000}"/>
    <cellStyle name="Total 2 5 4 2" xfId="1256" xr:uid="{00000000-0005-0000-0000-00006A080000}"/>
    <cellStyle name="Total 2 5 4 3" xfId="1726" xr:uid="{00000000-0005-0000-0000-00006B080000}"/>
    <cellStyle name="Total 2 5 4 4" xfId="2103" xr:uid="{00000000-0005-0000-0000-00006C080000}"/>
    <cellStyle name="Total 2 5 5" xfId="1014" xr:uid="{00000000-0005-0000-0000-00006D080000}"/>
    <cellStyle name="Total 2 5 6" xfId="1541" xr:uid="{00000000-0005-0000-0000-00006E080000}"/>
    <cellStyle name="Total 2 5 7" xfId="1561" xr:uid="{00000000-0005-0000-0000-00006F080000}"/>
    <cellStyle name="Total 2 6" xfId="322" xr:uid="{00000000-0005-0000-0000-000070080000}"/>
    <cellStyle name="Total 2 6 2" xfId="323" xr:uid="{00000000-0005-0000-0000-000071080000}"/>
    <cellStyle name="Total 2 6 2 2" xfId="470" xr:uid="{00000000-0005-0000-0000-000072080000}"/>
    <cellStyle name="Total 2 6 2 2 2" xfId="735" xr:uid="{00000000-0005-0000-0000-000073080000}"/>
    <cellStyle name="Total 2 6 2 2 2 2" xfId="1440" xr:uid="{00000000-0005-0000-0000-000074080000}"/>
    <cellStyle name="Total 2 6 2 2 2 3" xfId="1878" xr:uid="{00000000-0005-0000-0000-000075080000}"/>
    <cellStyle name="Total 2 6 2 2 2 4" xfId="2280" xr:uid="{00000000-0005-0000-0000-000076080000}"/>
    <cellStyle name="Total 2 6 2 2 3" xfId="1181" xr:uid="{00000000-0005-0000-0000-000077080000}"/>
    <cellStyle name="Total 2 6 2 2 4" xfId="1662" xr:uid="{00000000-0005-0000-0000-000078080000}"/>
    <cellStyle name="Total 2 6 2 2 5" xfId="2032" xr:uid="{00000000-0005-0000-0000-000079080000}"/>
    <cellStyle name="Total 2 6 2 3" xfId="599" xr:uid="{00000000-0005-0000-0000-00007A080000}"/>
    <cellStyle name="Total 2 6 2 3 2" xfId="1305" xr:uid="{00000000-0005-0000-0000-00007B080000}"/>
    <cellStyle name="Total 2 6 2 3 3" xfId="1768" xr:uid="{00000000-0005-0000-0000-00007C080000}"/>
    <cellStyle name="Total 2 6 2 3 4" xfId="2152" xr:uid="{00000000-0005-0000-0000-00007D080000}"/>
    <cellStyle name="Total 2 6 2 4" xfId="1017" xr:uid="{00000000-0005-0000-0000-00007E080000}"/>
    <cellStyle name="Total 2 6 2 5" xfId="1544" xr:uid="{00000000-0005-0000-0000-00007F080000}"/>
    <cellStyle name="Total 2 6 2 6" xfId="1552" xr:uid="{00000000-0005-0000-0000-000080080000}"/>
    <cellStyle name="Total 2 6 3" xfId="419" xr:uid="{00000000-0005-0000-0000-000081080000}"/>
    <cellStyle name="Total 2 6 3 2" xfId="736" xr:uid="{00000000-0005-0000-0000-000082080000}"/>
    <cellStyle name="Total 2 6 3 2 2" xfId="1441" xr:uid="{00000000-0005-0000-0000-000083080000}"/>
    <cellStyle name="Total 2 6 3 2 3" xfId="1879" xr:uid="{00000000-0005-0000-0000-000084080000}"/>
    <cellStyle name="Total 2 6 3 2 4" xfId="2281" xr:uid="{00000000-0005-0000-0000-000085080000}"/>
    <cellStyle name="Total 2 6 3 3" xfId="1130" xr:uid="{00000000-0005-0000-0000-000086080000}"/>
    <cellStyle name="Total 2 6 3 4" xfId="1621" xr:uid="{00000000-0005-0000-0000-000087080000}"/>
    <cellStyle name="Total 2 6 3 5" xfId="1984" xr:uid="{00000000-0005-0000-0000-000088080000}"/>
    <cellStyle name="Total 2 6 4" xfId="550" xr:uid="{00000000-0005-0000-0000-000089080000}"/>
    <cellStyle name="Total 2 6 4 2" xfId="1257" xr:uid="{00000000-0005-0000-0000-00008A080000}"/>
    <cellStyle name="Total 2 6 4 3" xfId="1727" xr:uid="{00000000-0005-0000-0000-00008B080000}"/>
    <cellStyle name="Total 2 6 4 4" xfId="2104" xr:uid="{00000000-0005-0000-0000-00008C080000}"/>
    <cellStyle name="Total 2 6 5" xfId="1016" xr:uid="{00000000-0005-0000-0000-00008D080000}"/>
    <cellStyle name="Total 2 6 6" xfId="1543" xr:uid="{00000000-0005-0000-0000-00008E080000}"/>
    <cellStyle name="Total 2 6 7" xfId="834" xr:uid="{00000000-0005-0000-0000-00008F080000}"/>
    <cellStyle name="Total 2 7" xfId="324" xr:uid="{00000000-0005-0000-0000-000090080000}"/>
    <cellStyle name="Total 2 7 2" xfId="325" xr:uid="{00000000-0005-0000-0000-000091080000}"/>
    <cellStyle name="Total 2 7 2 2" xfId="453" xr:uid="{00000000-0005-0000-0000-000092080000}"/>
    <cellStyle name="Total 2 7 2 2 2" xfId="737" xr:uid="{00000000-0005-0000-0000-000093080000}"/>
    <cellStyle name="Total 2 7 2 2 2 2" xfId="1442" xr:uid="{00000000-0005-0000-0000-000094080000}"/>
    <cellStyle name="Total 2 7 2 2 2 3" xfId="1880" xr:uid="{00000000-0005-0000-0000-000095080000}"/>
    <cellStyle name="Total 2 7 2 2 2 4" xfId="2282" xr:uid="{00000000-0005-0000-0000-000096080000}"/>
    <cellStyle name="Total 2 7 2 2 3" xfId="1164" xr:uid="{00000000-0005-0000-0000-000097080000}"/>
    <cellStyle name="Total 2 7 2 2 4" xfId="1648" xr:uid="{00000000-0005-0000-0000-000098080000}"/>
    <cellStyle name="Total 2 7 2 2 5" xfId="2015" xr:uid="{00000000-0005-0000-0000-000099080000}"/>
    <cellStyle name="Total 2 7 2 3" xfId="582" xr:uid="{00000000-0005-0000-0000-00009A080000}"/>
    <cellStyle name="Total 2 7 2 3 2" xfId="1288" xr:uid="{00000000-0005-0000-0000-00009B080000}"/>
    <cellStyle name="Total 2 7 2 3 3" xfId="1754" xr:uid="{00000000-0005-0000-0000-00009C080000}"/>
    <cellStyle name="Total 2 7 2 3 4" xfId="2135" xr:uid="{00000000-0005-0000-0000-00009D080000}"/>
    <cellStyle name="Total 2 7 2 4" xfId="1019" xr:uid="{00000000-0005-0000-0000-00009E080000}"/>
    <cellStyle name="Total 2 7 2 5" xfId="1546" xr:uid="{00000000-0005-0000-0000-00009F080000}"/>
    <cellStyle name="Total 2 7 2 6" xfId="1562" xr:uid="{00000000-0005-0000-0000-0000A0080000}"/>
    <cellStyle name="Total 2 7 3" xfId="420" xr:uid="{00000000-0005-0000-0000-0000A1080000}"/>
    <cellStyle name="Total 2 7 3 2" xfId="738" xr:uid="{00000000-0005-0000-0000-0000A2080000}"/>
    <cellStyle name="Total 2 7 3 2 2" xfId="1443" xr:uid="{00000000-0005-0000-0000-0000A3080000}"/>
    <cellStyle name="Total 2 7 3 2 3" xfId="1881" xr:uid="{00000000-0005-0000-0000-0000A4080000}"/>
    <cellStyle name="Total 2 7 3 2 4" xfId="2283" xr:uid="{00000000-0005-0000-0000-0000A5080000}"/>
    <cellStyle name="Total 2 7 3 3" xfId="1131" xr:uid="{00000000-0005-0000-0000-0000A6080000}"/>
    <cellStyle name="Total 2 7 3 4" xfId="1622" xr:uid="{00000000-0005-0000-0000-0000A7080000}"/>
    <cellStyle name="Total 2 7 3 5" xfId="1985" xr:uid="{00000000-0005-0000-0000-0000A8080000}"/>
    <cellStyle name="Total 2 7 4" xfId="551" xr:uid="{00000000-0005-0000-0000-0000A9080000}"/>
    <cellStyle name="Total 2 7 4 2" xfId="1258" xr:uid="{00000000-0005-0000-0000-0000AA080000}"/>
    <cellStyle name="Total 2 7 4 3" xfId="1728" xr:uid="{00000000-0005-0000-0000-0000AB080000}"/>
    <cellStyle name="Total 2 7 4 4" xfId="2105" xr:uid="{00000000-0005-0000-0000-0000AC080000}"/>
    <cellStyle name="Total 2 7 5" xfId="1018" xr:uid="{00000000-0005-0000-0000-0000AD080000}"/>
    <cellStyle name="Total 2 7 6" xfId="1545" xr:uid="{00000000-0005-0000-0000-0000AE080000}"/>
    <cellStyle name="Total 2 7 7" xfId="1559" xr:uid="{00000000-0005-0000-0000-0000AF080000}"/>
    <cellStyle name="Total 2 8" xfId="326" xr:uid="{00000000-0005-0000-0000-0000B0080000}"/>
    <cellStyle name="Total 2 8 2" xfId="327" xr:uid="{00000000-0005-0000-0000-0000B1080000}"/>
    <cellStyle name="Total 2 8 2 2" xfId="447" xr:uid="{00000000-0005-0000-0000-0000B2080000}"/>
    <cellStyle name="Total 2 8 2 2 2" xfId="739" xr:uid="{00000000-0005-0000-0000-0000B3080000}"/>
    <cellStyle name="Total 2 8 2 2 2 2" xfId="1444" xr:uid="{00000000-0005-0000-0000-0000B4080000}"/>
    <cellStyle name="Total 2 8 2 2 2 3" xfId="1882" xr:uid="{00000000-0005-0000-0000-0000B5080000}"/>
    <cellStyle name="Total 2 8 2 2 2 4" xfId="2284" xr:uid="{00000000-0005-0000-0000-0000B6080000}"/>
    <cellStyle name="Total 2 8 2 2 3" xfId="1158" xr:uid="{00000000-0005-0000-0000-0000B7080000}"/>
    <cellStyle name="Total 2 8 2 2 4" xfId="1643" xr:uid="{00000000-0005-0000-0000-0000B8080000}"/>
    <cellStyle name="Total 2 8 2 2 5" xfId="2009" xr:uid="{00000000-0005-0000-0000-0000B9080000}"/>
    <cellStyle name="Total 2 8 2 3" xfId="576" xr:uid="{00000000-0005-0000-0000-0000BA080000}"/>
    <cellStyle name="Total 2 8 2 3 2" xfId="1282" xr:uid="{00000000-0005-0000-0000-0000BB080000}"/>
    <cellStyle name="Total 2 8 2 3 3" xfId="1749" xr:uid="{00000000-0005-0000-0000-0000BC080000}"/>
    <cellStyle name="Total 2 8 2 3 4" xfId="2129" xr:uid="{00000000-0005-0000-0000-0000BD080000}"/>
    <cellStyle name="Total 2 8 2 4" xfId="1021" xr:uid="{00000000-0005-0000-0000-0000BE080000}"/>
    <cellStyle name="Total 2 8 2 5" xfId="1548" xr:uid="{00000000-0005-0000-0000-0000BF080000}"/>
    <cellStyle name="Total 2 8 2 6" xfId="855" xr:uid="{00000000-0005-0000-0000-0000C0080000}"/>
    <cellStyle name="Total 2 8 3" xfId="421" xr:uid="{00000000-0005-0000-0000-0000C1080000}"/>
    <cellStyle name="Total 2 8 3 2" xfId="740" xr:uid="{00000000-0005-0000-0000-0000C2080000}"/>
    <cellStyle name="Total 2 8 3 2 2" xfId="1445" xr:uid="{00000000-0005-0000-0000-0000C3080000}"/>
    <cellStyle name="Total 2 8 3 2 3" xfId="1883" xr:uid="{00000000-0005-0000-0000-0000C4080000}"/>
    <cellStyle name="Total 2 8 3 2 4" xfId="2285" xr:uid="{00000000-0005-0000-0000-0000C5080000}"/>
    <cellStyle name="Total 2 8 3 3" xfId="1132" xr:uid="{00000000-0005-0000-0000-0000C6080000}"/>
    <cellStyle name="Total 2 8 3 4" xfId="1623" xr:uid="{00000000-0005-0000-0000-0000C7080000}"/>
    <cellStyle name="Total 2 8 3 5" xfId="1986" xr:uid="{00000000-0005-0000-0000-0000C8080000}"/>
    <cellStyle name="Total 2 8 4" xfId="552" xr:uid="{00000000-0005-0000-0000-0000C9080000}"/>
    <cellStyle name="Total 2 8 4 2" xfId="1259" xr:uid="{00000000-0005-0000-0000-0000CA080000}"/>
    <cellStyle name="Total 2 8 4 3" xfId="1729" xr:uid="{00000000-0005-0000-0000-0000CB080000}"/>
    <cellStyle name="Total 2 8 4 4" xfId="2106" xr:uid="{00000000-0005-0000-0000-0000CC080000}"/>
    <cellStyle name="Total 2 8 5" xfId="1020" xr:uid="{00000000-0005-0000-0000-0000CD080000}"/>
    <cellStyle name="Total 2 8 6" xfId="1547" xr:uid="{00000000-0005-0000-0000-0000CE080000}"/>
    <cellStyle name="Total 2 8 7" xfId="948" xr:uid="{00000000-0005-0000-0000-0000CF080000}"/>
    <cellStyle name="Total 2 9" xfId="328" xr:uid="{00000000-0005-0000-0000-0000D0080000}"/>
    <cellStyle name="Total 2 9 2" xfId="329" xr:uid="{00000000-0005-0000-0000-0000D1080000}"/>
    <cellStyle name="Total 2 9 2 2" xfId="479" xr:uid="{00000000-0005-0000-0000-0000D2080000}"/>
    <cellStyle name="Total 2 9 2 2 2" xfId="741" xr:uid="{00000000-0005-0000-0000-0000D3080000}"/>
    <cellStyle name="Total 2 9 2 2 2 2" xfId="1446" xr:uid="{00000000-0005-0000-0000-0000D4080000}"/>
    <cellStyle name="Total 2 9 2 2 2 3" xfId="1884" xr:uid="{00000000-0005-0000-0000-0000D5080000}"/>
    <cellStyle name="Total 2 9 2 2 2 4" xfId="2286" xr:uid="{00000000-0005-0000-0000-0000D6080000}"/>
    <cellStyle name="Total 2 9 2 2 3" xfId="1190" xr:uid="{00000000-0005-0000-0000-0000D7080000}"/>
    <cellStyle name="Total 2 9 2 2 4" xfId="1669" xr:uid="{00000000-0005-0000-0000-0000D8080000}"/>
    <cellStyle name="Total 2 9 2 2 5" xfId="2041" xr:uid="{00000000-0005-0000-0000-0000D9080000}"/>
    <cellStyle name="Total 2 9 2 3" xfId="608" xr:uid="{00000000-0005-0000-0000-0000DA080000}"/>
    <cellStyle name="Total 2 9 2 3 2" xfId="1314" xr:uid="{00000000-0005-0000-0000-0000DB080000}"/>
    <cellStyle name="Total 2 9 2 3 3" xfId="1775" xr:uid="{00000000-0005-0000-0000-0000DC080000}"/>
    <cellStyle name="Total 2 9 2 3 4" xfId="2161" xr:uid="{00000000-0005-0000-0000-0000DD080000}"/>
    <cellStyle name="Total 2 9 2 4" xfId="1023" xr:uid="{00000000-0005-0000-0000-0000DE080000}"/>
    <cellStyle name="Total 2 9 2 5" xfId="1550" xr:uid="{00000000-0005-0000-0000-0000DF080000}"/>
    <cellStyle name="Total 2 9 2 6" xfId="1560" xr:uid="{00000000-0005-0000-0000-0000E0080000}"/>
    <cellStyle name="Total 2 9 3" xfId="422" xr:uid="{00000000-0005-0000-0000-0000E1080000}"/>
    <cellStyle name="Total 2 9 3 2" xfId="742" xr:uid="{00000000-0005-0000-0000-0000E2080000}"/>
    <cellStyle name="Total 2 9 3 2 2" xfId="1447" xr:uid="{00000000-0005-0000-0000-0000E3080000}"/>
    <cellStyle name="Total 2 9 3 2 3" xfId="1885" xr:uid="{00000000-0005-0000-0000-0000E4080000}"/>
    <cellStyle name="Total 2 9 3 2 4" xfId="2287" xr:uid="{00000000-0005-0000-0000-0000E5080000}"/>
    <cellStyle name="Total 2 9 3 3" xfId="1133" xr:uid="{00000000-0005-0000-0000-0000E6080000}"/>
    <cellStyle name="Total 2 9 3 4" xfId="1624" xr:uid="{00000000-0005-0000-0000-0000E7080000}"/>
    <cellStyle name="Total 2 9 3 5" xfId="1987" xr:uid="{00000000-0005-0000-0000-0000E8080000}"/>
    <cellStyle name="Total 2 9 4" xfId="553" xr:uid="{00000000-0005-0000-0000-0000E9080000}"/>
    <cellStyle name="Total 2 9 4 2" xfId="1260" xr:uid="{00000000-0005-0000-0000-0000EA080000}"/>
    <cellStyle name="Total 2 9 4 3" xfId="1730" xr:uid="{00000000-0005-0000-0000-0000EB080000}"/>
    <cellStyle name="Total 2 9 4 4" xfId="2107" xr:uid="{00000000-0005-0000-0000-0000EC080000}"/>
    <cellStyle name="Total 2 9 5" xfId="1022" xr:uid="{00000000-0005-0000-0000-0000ED080000}"/>
    <cellStyle name="Total 2 9 6" xfId="1549" xr:uid="{00000000-0005-0000-0000-0000EE080000}"/>
    <cellStyle name="Total 2 9 7" xfId="1553" xr:uid="{00000000-0005-0000-0000-0000EF080000}"/>
    <cellStyle name="Warning Text" xfId="92" builtinId="11" customBuiltin="1"/>
    <cellStyle name="Warning Text 2" xfId="167" xr:uid="{00000000-0005-0000-0000-0000F1080000}"/>
    <cellStyle name="Wrap" xfId="330" xr:uid="{00000000-0005-0000-0000-0000F2080000}"/>
    <cellStyle name="Wrap 2" xfId="331" xr:uid="{00000000-0005-0000-0000-0000F3080000}"/>
    <cellStyle name="Wrap 2 2" xfId="759" xr:uid="{00000000-0005-0000-0000-0000F4080000}"/>
    <cellStyle name="Wrap 2 2 2" xfId="1464" xr:uid="{00000000-0005-0000-0000-0000F5080000}"/>
    <cellStyle name="Wrap 2 3" xfId="767" xr:uid="{00000000-0005-0000-0000-0000F6080000}"/>
    <cellStyle name="Wrap 2 3 2" xfId="1472" xr:uid="{00000000-0005-0000-0000-0000F7080000}"/>
    <cellStyle name="Wrap 2 4" xfId="1025" xr:uid="{00000000-0005-0000-0000-0000F8080000}"/>
    <cellStyle name="Wrap 3" xfId="423" xr:uid="{00000000-0005-0000-0000-0000F9080000}"/>
    <cellStyle name="Wrap 3 2" xfId="743" xr:uid="{00000000-0005-0000-0000-0000FA080000}"/>
    <cellStyle name="Wrap 3 2 2" xfId="1448" xr:uid="{00000000-0005-0000-0000-0000FB080000}"/>
    <cellStyle name="Wrap 3 3" xfId="775" xr:uid="{00000000-0005-0000-0000-0000FC080000}"/>
    <cellStyle name="Wrap 3 3 2" xfId="1480" xr:uid="{00000000-0005-0000-0000-0000FD080000}"/>
    <cellStyle name="Wrap 3 4" xfId="1134" xr:uid="{00000000-0005-0000-0000-0000FE080000}"/>
    <cellStyle name="Wrap 4" xfId="751" xr:uid="{00000000-0005-0000-0000-0000FF080000}"/>
    <cellStyle name="Wrap 4 2" xfId="1456" xr:uid="{00000000-0005-0000-0000-000000090000}"/>
    <cellStyle name="Wrap 5" xfId="1024" xr:uid="{00000000-0005-0000-0000-000001090000}"/>
    <cellStyle name="Wrap Bold" xfId="332" xr:uid="{00000000-0005-0000-0000-000002090000}"/>
    <cellStyle name="Wrap Bold 2" xfId="424" xr:uid="{00000000-0005-0000-0000-000003090000}"/>
    <cellStyle name="Wrap Bold 2 2" xfId="1135" xr:uid="{00000000-0005-0000-0000-000004090000}"/>
    <cellStyle name="Wrap Bold 3" xfId="1026" xr:uid="{00000000-0005-0000-0000-000005090000}"/>
    <cellStyle name="Wrap Title" xfId="333" xr:uid="{00000000-0005-0000-0000-00000609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FF66"/>
      <color rgb="FFF1A9FD"/>
      <color rgb="FFD479F9"/>
      <color rgb="FFA07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____ City: Historical Emissions and Reduction Target </a:t>
            </a:r>
          </a:p>
        </c:rich>
      </c:tx>
      <c:overlay val="0"/>
    </c:title>
    <c:autoTitleDeleted val="0"/>
    <c:plotArea>
      <c:layout>
        <c:manualLayout>
          <c:layoutTarget val="inner"/>
          <c:xMode val="edge"/>
          <c:yMode val="edge"/>
          <c:x val="9.8136594339465658E-2"/>
          <c:y val="0.10007827537228385"/>
          <c:w val="0.49653101555076512"/>
          <c:h val="0.76363185466375483"/>
        </c:manualLayout>
      </c:layout>
      <c:areaChart>
        <c:grouping val="stacked"/>
        <c:varyColors val="0"/>
        <c:ser>
          <c:idx val="13"/>
          <c:order val="13"/>
          <c:tx>
            <c:strRef>
              <c:f>'Chart Areas'!$K$2</c:f>
              <c:strCache>
                <c:ptCount val="1"/>
                <c:pt idx="0">
                  <c:v>Target Path Bottom Area</c:v>
                </c:pt>
              </c:strCache>
            </c:strRef>
          </c:tx>
          <c:spPr>
            <a:noFill/>
          </c:spPr>
          <c:cat>
            <c:numRef>
              <c:f>'Chart Areas'!$J$3:$J$48</c:f>
              <c:numCache>
                <c:formatCode>General</c:formatCode>
                <c:ptCount val="46"/>
                <c:pt idx="12" formatCode="#,##0">
                  <c:v>21.119324181626187</c:v>
                </c:pt>
                <c:pt idx="13">
                  <c:v>63.357972544878564</c:v>
                </c:pt>
                <c:pt idx="14">
                  <c:v>73.917634635691655</c:v>
                </c:pt>
                <c:pt idx="15">
                  <c:v>116.15628299894404</c:v>
                </c:pt>
                <c:pt idx="16">
                  <c:v>142.55543822597676</c:v>
                </c:pt>
                <c:pt idx="17">
                  <c:v>172.12249208025344</c:v>
                </c:pt>
                <c:pt idx="18">
                  <c:v>201.68954593453009</c:v>
                </c:pt>
                <c:pt idx="19">
                  <c:v>231.25659978880674</c:v>
                </c:pt>
                <c:pt idx="20">
                  <c:v>260.82365364308339</c:v>
                </c:pt>
                <c:pt idx="21">
                  <c:v>290.3907074973601</c:v>
                </c:pt>
                <c:pt idx="22">
                  <c:v>319.95776135163675</c:v>
                </c:pt>
                <c:pt idx="23">
                  <c:v>349.5248152059134</c:v>
                </c:pt>
                <c:pt idx="24">
                  <c:v>379.09186906019005</c:v>
                </c:pt>
                <c:pt idx="25">
                  <c:v>408.6589229144667</c:v>
                </c:pt>
                <c:pt idx="26">
                  <c:v>438.22597676874341</c:v>
                </c:pt>
                <c:pt idx="27">
                  <c:v>467.79303062302006</c:v>
                </c:pt>
                <c:pt idx="28">
                  <c:v>497.36008447729671</c:v>
                </c:pt>
                <c:pt idx="29">
                  <c:v>526.92713833157336</c:v>
                </c:pt>
                <c:pt idx="30">
                  <c:v>556.49419218585001</c:v>
                </c:pt>
                <c:pt idx="31">
                  <c:v>586.06124604012666</c:v>
                </c:pt>
                <c:pt idx="32">
                  <c:v>615.62829989440331</c:v>
                </c:pt>
                <c:pt idx="33">
                  <c:v>645.19535374868008</c:v>
                </c:pt>
                <c:pt idx="34">
                  <c:v>674.76240760295673</c:v>
                </c:pt>
                <c:pt idx="35">
                  <c:v>704.32946145723338</c:v>
                </c:pt>
                <c:pt idx="36">
                  <c:v>733.89651531151003</c:v>
                </c:pt>
                <c:pt idx="37">
                  <c:v>763.46356916578668</c:v>
                </c:pt>
                <c:pt idx="38">
                  <c:v>793.03062302006333</c:v>
                </c:pt>
                <c:pt idx="39">
                  <c:v>822.59767687433998</c:v>
                </c:pt>
                <c:pt idx="40">
                  <c:v>852.16473072861663</c:v>
                </c:pt>
                <c:pt idx="41">
                  <c:v>881.73178458289328</c:v>
                </c:pt>
                <c:pt idx="42">
                  <c:v>911.29883843716993</c:v>
                </c:pt>
                <c:pt idx="43">
                  <c:v>940.8658922914467</c:v>
                </c:pt>
                <c:pt idx="44">
                  <c:v>970.43294614572335</c:v>
                </c:pt>
                <c:pt idx="45">
                  <c:v>1000</c:v>
                </c:pt>
              </c:numCache>
            </c:numRef>
          </c:cat>
          <c:val>
            <c:numRef>
              <c:f>'Chart Areas'!$K$3:$K$48</c:f>
              <c:numCache>
                <c:formatCode>#,##0</c:formatCode>
                <c:ptCount val="46"/>
                <c:pt idx="12">
                  <c:v>591175.85452811304</c:v>
                </c:pt>
                <c:pt idx="13">
                  <c:v>566648.80800175469</c:v>
                </c:pt>
                <c:pt idx="14">
                  <c:v>543139.35379872681</c:v>
                </c:pt>
                <c:pt idx="15">
                  <c:v>520605.27345887409</c:v>
                </c:pt>
                <c:pt idx="16">
                  <c:v>499362.06057654478</c:v>
                </c:pt>
                <c:pt idx="17">
                  <c:v>478985.67351517902</c:v>
                </c:pt>
                <c:pt idx="18">
                  <c:v>459440.74158918182</c:v>
                </c:pt>
                <c:pt idx="19">
                  <c:v>440693.33740798838</c:v>
                </c:pt>
                <c:pt idx="20">
                  <c:v>422710.91798264685</c:v>
                </c:pt>
                <c:pt idx="21">
                  <c:v>405462.26823553746</c:v>
                </c:pt>
                <c:pt idx="22">
                  <c:v>388917.44681516808</c:v>
                </c:pt>
                <c:pt idx="23">
                  <c:v>373047.73412198835</c:v>
                </c:pt>
                <c:pt idx="24">
                  <c:v>357825.58245500183</c:v>
                </c:pt>
                <c:pt idx="25">
                  <c:v>343224.56819263758</c:v>
                </c:pt>
                <c:pt idx="26">
                  <c:v>313739.30436194758</c:v>
                </c:pt>
                <c:pt idx="27">
                  <c:v>286787.01999640308</c:v>
                </c:pt>
                <c:pt idx="28">
                  <c:v>262150.11538220505</c:v>
                </c:pt>
                <c:pt idx="29">
                  <c:v>239629.68406228899</c:v>
                </c:pt>
                <c:pt idx="30">
                  <c:v>219043.9069617526</c:v>
                </c:pt>
                <c:pt idx="31">
                  <c:v>200226.58446854615</c:v>
                </c:pt>
                <c:pt idx="32">
                  <c:v>183025.79461815435</c:v>
                </c:pt>
                <c:pt idx="33">
                  <c:v>167302.6665491022</c:v>
                </c:pt>
                <c:pt idx="34">
                  <c:v>152930.25932675682</c:v>
                </c:pt>
                <c:pt idx="35">
                  <c:v>184573.90853261916</c:v>
                </c:pt>
                <c:pt idx="36">
                  <c:v>168717.7872240436</c:v>
                </c:pt>
                <c:pt idx="37">
                  <c:v>154223.81176235969</c:v>
                </c:pt>
                <c:pt idx="38">
                  <c:v>140974.96479684868</c:v>
                </c:pt>
                <c:pt idx="39">
                  <c:v>128864.28154230861</c:v>
                </c:pt>
                <c:pt idx="40">
                  <c:v>89214.777508874016</c:v>
                </c:pt>
                <c:pt idx="41">
                  <c:v>52418.11209343942</c:v>
                </c:pt>
                <c:pt idx="42">
                  <c:v>30798.243880248156</c:v>
                </c:pt>
                <c:pt idx="43">
                  <c:v>18095.497686303737</c:v>
                </c:pt>
                <c:pt idx="44">
                  <c:v>10632.003493063628</c:v>
                </c:pt>
                <c:pt idx="45">
                  <c:v>-6246.830025685078</c:v>
                </c:pt>
              </c:numCache>
            </c:numRef>
          </c:val>
          <c:extLst>
            <c:ext xmlns:c16="http://schemas.microsoft.com/office/drawing/2014/chart" uri="{C3380CC4-5D6E-409C-BE32-E72D297353CC}">
              <c16:uniqueId val="{00000006-1FED-4882-BEBE-85D487F66549}"/>
            </c:ext>
          </c:extLst>
        </c:ser>
        <c:ser>
          <c:idx val="14"/>
          <c:order val="14"/>
          <c:tx>
            <c:strRef>
              <c:f>'Chart Areas'!$L$2</c:f>
              <c:strCache>
                <c:ptCount val="1"/>
                <c:pt idx="0">
                  <c:v>Emissions Delta Target Emissions and State+PCE Measures Path</c:v>
                </c:pt>
              </c:strCache>
            </c:strRef>
          </c:tx>
          <c:spPr>
            <a:solidFill>
              <a:schemeClr val="accent5"/>
            </a:solidFill>
          </c:spPr>
          <c:cat>
            <c:numRef>
              <c:f>'Chart Areas'!$J$3:$J$48</c:f>
              <c:numCache>
                <c:formatCode>General</c:formatCode>
                <c:ptCount val="46"/>
                <c:pt idx="12" formatCode="#,##0">
                  <c:v>21.119324181626187</c:v>
                </c:pt>
                <c:pt idx="13">
                  <c:v>63.357972544878564</c:v>
                </c:pt>
                <c:pt idx="14">
                  <c:v>73.917634635691655</c:v>
                </c:pt>
                <c:pt idx="15">
                  <c:v>116.15628299894404</c:v>
                </c:pt>
                <c:pt idx="16">
                  <c:v>142.55543822597676</c:v>
                </c:pt>
                <c:pt idx="17">
                  <c:v>172.12249208025344</c:v>
                </c:pt>
                <c:pt idx="18">
                  <c:v>201.68954593453009</c:v>
                </c:pt>
                <c:pt idx="19">
                  <c:v>231.25659978880674</c:v>
                </c:pt>
                <c:pt idx="20">
                  <c:v>260.82365364308339</c:v>
                </c:pt>
                <c:pt idx="21">
                  <c:v>290.3907074973601</c:v>
                </c:pt>
                <c:pt idx="22">
                  <c:v>319.95776135163675</c:v>
                </c:pt>
                <c:pt idx="23">
                  <c:v>349.5248152059134</c:v>
                </c:pt>
                <c:pt idx="24">
                  <c:v>379.09186906019005</c:v>
                </c:pt>
                <c:pt idx="25">
                  <c:v>408.6589229144667</c:v>
                </c:pt>
                <c:pt idx="26">
                  <c:v>438.22597676874341</c:v>
                </c:pt>
                <c:pt idx="27">
                  <c:v>467.79303062302006</c:v>
                </c:pt>
                <c:pt idx="28">
                  <c:v>497.36008447729671</c:v>
                </c:pt>
                <c:pt idx="29">
                  <c:v>526.92713833157336</c:v>
                </c:pt>
                <c:pt idx="30">
                  <c:v>556.49419218585001</c:v>
                </c:pt>
                <c:pt idx="31">
                  <c:v>586.06124604012666</c:v>
                </c:pt>
                <c:pt idx="32">
                  <c:v>615.62829989440331</c:v>
                </c:pt>
                <c:pt idx="33">
                  <c:v>645.19535374868008</c:v>
                </c:pt>
                <c:pt idx="34">
                  <c:v>674.76240760295673</c:v>
                </c:pt>
                <c:pt idx="35">
                  <c:v>704.32946145723338</c:v>
                </c:pt>
                <c:pt idx="36">
                  <c:v>733.89651531151003</c:v>
                </c:pt>
                <c:pt idx="37">
                  <c:v>763.46356916578668</c:v>
                </c:pt>
                <c:pt idx="38">
                  <c:v>793.03062302006333</c:v>
                </c:pt>
                <c:pt idx="39">
                  <c:v>822.59767687433998</c:v>
                </c:pt>
                <c:pt idx="40">
                  <c:v>852.16473072861663</c:v>
                </c:pt>
                <c:pt idx="41">
                  <c:v>881.73178458289328</c:v>
                </c:pt>
                <c:pt idx="42">
                  <c:v>911.29883843716993</c:v>
                </c:pt>
                <c:pt idx="43">
                  <c:v>940.8658922914467</c:v>
                </c:pt>
                <c:pt idx="44">
                  <c:v>970.43294614572335</c:v>
                </c:pt>
                <c:pt idx="45">
                  <c:v>1000</c:v>
                </c:pt>
              </c:numCache>
            </c:numRef>
          </c:cat>
          <c:val>
            <c:numRef>
              <c:f>'Chart Areas'!$L$3:$L$48</c:f>
              <c:numCache>
                <c:formatCode>#,##0</c:formatCode>
                <c:ptCount val="46"/>
                <c:pt idx="12">
                  <c:v>0</c:v>
                </c:pt>
                <c:pt idx="13">
                  <c:v>8120.4529153242474</c:v>
                </c:pt>
                <c:pt idx="14">
                  <c:v>15678.637099876534</c:v>
                </c:pt>
                <c:pt idx="15">
                  <c:v>22704.134656817303</c:v>
                </c:pt>
                <c:pt idx="16">
                  <c:v>29092.967205157911</c:v>
                </c:pt>
                <c:pt idx="17">
                  <c:v>35021.100923547463</c:v>
                </c:pt>
                <c:pt idx="18">
                  <c:v>40512.802760560531</c:v>
                </c:pt>
                <c:pt idx="19">
                  <c:v>45591.19995206577</c:v>
                </c:pt>
                <c:pt idx="20">
                  <c:v>50278.330614533857</c:v>
                </c:pt>
                <c:pt idx="21">
                  <c:v>54595.192162139167</c:v>
                </c:pt>
                <c:pt idx="22">
                  <c:v>58561.787639509887</c:v>
                </c:pt>
                <c:pt idx="23">
                  <c:v>62197.170058150194</c:v>
                </c:pt>
                <c:pt idx="24">
                  <c:v>65519.48482088506</c:v>
                </c:pt>
                <c:pt idx="25">
                  <c:v>68546.010315157007</c:v>
                </c:pt>
                <c:pt idx="26">
                  <c:v>93632.601886448625</c:v>
                </c:pt>
                <c:pt idx="27">
                  <c:v>116233.20209387119</c:v>
                </c:pt>
                <c:pt idx="28">
                  <c:v>136564.90870847122</c:v>
                </c:pt>
                <c:pt idx="29">
                  <c:v>154826.13160648246</c:v>
                </c:pt>
                <c:pt idx="30">
                  <c:v>171198.19858662048</c:v>
                </c:pt>
                <c:pt idx="31">
                  <c:v>185846.82323272625</c:v>
                </c:pt>
                <c:pt idx="32">
                  <c:v>198923.44667302363</c:v>
                </c:pt>
                <c:pt idx="33">
                  <c:v>210566.4640691517</c:v>
                </c:pt>
                <c:pt idx="34">
                  <c:v>220902.3457374936</c:v>
                </c:pt>
                <c:pt idx="35">
                  <c:v>185265.29050560165</c:v>
                </c:pt>
                <c:pt idx="36">
                  <c:v>199841.06596401255</c:v>
                </c:pt>
                <c:pt idx="37">
                  <c:v>213059.12800319301</c:v>
                </c:pt>
                <c:pt idx="38">
                  <c:v>225036.47862924621</c:v>
                </c:pt>
                <c:pt idx="39">
                  <c:v>235880.0673358799</c:v>
                </c:pt>
                <c:pt idx="40">
                  <c:v>274266.86337440298</c:v>
                </c:pt>
                <c:pt idx="41">
                  <c:v>304363.39550708118</c:v>
                </c:pt>
                <c:pt idx="42">
                  <c:v>319406.63539886056</c:v>
                </c:pt>
                <c:pt idx="43">
                  <c:v>325653.98163989477</c:v>
                </c:pt>
                <c:pt idx="44">
                  <c:v>326781.06962079683</c:v>
                </c:pt>
                <c:pt idx="45">
                  <c:v>337440.29723121511</c:v>
                </c:pt>
              </c:numCache>
            </c:numRef>
          </c:val>
          <c:extLst>
            <c:ext xmlns:c16="http://schemas.microsoft.com/office/drawing/2014/chart" uri="{C3380CC4-5D6E-409C-BE32-E72D297353CC}">
              <c16:uniqueId val="{00000007-1FED-4882-BEBE-85D487F66549}"/>
            </c:ext>
          </c:extLst>
        </c:ser>
        <c:ser>
          <c:idx val="15"/>
          <c:order val="15"/>
          <c:tx>
            <c:strRef>
              <c:f>'Chart Areas'!$M$2</c:f>
              <c:strCache>
                <c:ptCount val="1"/>
                <c:pt idx="0">
                  <c:v>State Measures + PCE Emissions Bottom Area</c:v>
                </c:pt>
              </c:strCache>
            </c:strRef>
          </c:tx>
          <c:cat>
            <c:numRef>
              <c:f>'Chart Areas'!$J$3:$J$48</c:f>
              <c:numCache>
                <c:formatCode>General</c:formatCode>
                <c:ptCount val="46"/>
                <c:pt idx="12" formatCode="#,##0">
                  <c:v>21.119324181626187</c:v>
                </c:pt>
                <c:pt idx="13">
                  <c:v>63.357972544878564</c:v>
                </c:pt>
                <c:pt idx="14">
                  <c:v>73.917634635691655</c:v>
                </c:pt>
                <c:pt idx="15">
                  <c:v>116.15628299894404</c:v>
                </c:pt>
                <c:pt idx="16">
                  <c:v>142.55543822597676</c:v>
                </c:pt>
                <c:pt idx="17">
                  <c:v>172.12249208025344</c:v>
                </c:pt>
                <c:pt idx="18">
                  <c:v>201.68954593453009</c:v>
                </c:pt>
                <c:pt idx="19">
                  <c:v>231.25659978880674</c:v>
                </c:pt>
                <c:pt idx="20">
                  <c:v>260.82365364308339</c:v>
                </c:pt>
                <c:pt idx="21">
                  <c:v>290.3907074973601</c:v>
                </c:pt>
                <c:pt idx="22">
                  <c:v>319.95776135163675</c:v>
                </c:pt>
                <c:pt idx="23">
                  <c:v>349.5248152059134</c:v>
                </c:pt>
                <c:pt idx="24">
                  <c:v>379.09186906019005</c:v>
                </c:pt>
                <c:pt idx="25">
                  <c:v>408.6589229144667</c:v>
                </c:pt>
                <c:pt idx="26">
                  <c:v>438.22597676874341</c:v>
                </c:pt>
                <c:pt idx="27">
                  <c:v>467.79303062302006</c:v>
                </c:pt>
                <c:pt idx="28">
                  <c:v>497.36008447729671</c:v>
                </c:pt>
                <c:pt idx="29">
                  <c:v>526.92713833157336</c:v>
                </c:pt>
                <c:pt idx="30">
                  <c:v>556.49419218585001</c:v>
                </c:pt>
                <c:pt idx="31">
                  <c:v>586.06124604012666</c:v>
                </c:pt>
                <c:pt idx="32">
                  <c:v>615.62829989440331</c:v>
                </c:pt>
                <c:pt idx="33">
                  <c:v>645.19535374868008</c:v>
                </c:pt>
                <c:pt idx="34">
                  <c:v>674.76240760295673</c:v>
                </c:pt>
                <c:pt idx="35">
                  <c:v>704.32946145723338</c:v>
                </c:pt>
                <c:pt idx="36">
                  <c:v>733.89651531151003</c:v>
                </c:pt>
                <c:pt idx="37">
                  <c:v>763.46356916578668</c:v>
                </c:pt>
                <c:pt idx="38">
                  <c:v>793.03062302006333</c:v>
                </c:pt>
                <c:pt idx="39">
                  <c:v>822.59767687433998</c:v>
                </c:pt>
                <c:pt idx="40">
                  <c:v>852.16473072861663</c:v>
                </c:pt>
                <c:pt idx="41">
                  <c:v>881.73178458289328</c:v>
                </c:pt>
                <c:pt idx="42">
                  <c:v>911.29883843716993</c:v>
                </c:pt>
                <c:pt idx="43">
                  <c:v>940.8658922914467</c:v>
                </c:pt>
                <c:pt idx="44">
                  <c:v>970.43294614572335</c:v>
                </c:pt>
                <c:pt idx="45">
                  <c:v>1000</c:v>
                </c:pt>
              </c:numCache>
            </c:numRef>
          </c:cat>
          <c:val>
            <c:numRef>
              <c:f>'Chart Areas'!$M$3:$M$48</c:f>
              <c:numCache>
                <c:formatCode>#,##0</c:formatCode>
                <c:ptCount val="46"/>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numCache>
            </c:numRef>
          </c:val>
          <c:extLst>
            <c:ext xmlns:c16="http://schemas.microsoft.com/office/drawing/2014/chart" uri="{C3380CC4-5D6E-409C-BE32-E72D297353CC}">
              <c16:uniqueId val="{00000008-1FED-4882-BEBE-85D487F66549}"/>
            </c:ext>
          </c:extLst>
        </c:ser>
        <c:ser>
          <c:idx val="16"/>
          <c:order val="16"/>
          <c:tx>
            <c:strRef>
              <c:f>'Chart Areas'!$N$2</c:f>
              <c:strCache>
                <c:ptCount val="1"/>
                <c:pt idx="0">
                  <c:v>Emissions Delta with BAU w/State Measures + PCE Path</c:v>
                </c:pt>
              </c:strCache>
            </c:strRef>
          </c:tx>
          <c:spPr>
            <a:solidFill>
              <a:schemeClr val="accent6">
                <a:lumMod val="60000"/>
                <a:lumOff val="40000"/>
              </a:schemeClr>
            </a:solidFill>
          </c:spPr>
          <c:cat>
            <c:numRef>
              <c:f>'Chart Areas'!$J$3:$J$48</c:f>
              <c:numCache>
                <c:formatCode>General</c:formatCode>
                <c:ptCount val="46"/>
                <c:pt idx="12" formatCode="#,##0">
                  <c:v>21.119324181626187</c:v>
                </c:pt>
                <c:pt idx="13">
                  <c:v>63.357972544878564</c:v>
                </c:pt>
                <c:pt idx="14">
                  <c:v>73.917634635691655</c:v>
                </c:pt>
                <c:pt idx="15">
                  <c:v>116.15628299894404</c:v>
                </c:pt>
                <c:pt idx="16">
                  <c:v>142.55543822597676</c:v>
                </c:pt>
                <c:pt idx="17">
                  <c:v>172.12249208025344</c:v>
                </c:pt>
                <c:pt idx="18">
                  <c:v>201.68954593453009</c:v>
                </c:pt>
                <c:pt idx="19">
                  <c:v>231.25659978880674</c:v>
                </c:pt>
                <c:pt idx="20">
                  <c:v>260.82365364308339</c:v>
                </c:pt>
                <c:pt idx="21">
                  <c:v>290.3907074973601</c:v>
                </c:pt>
                <c:pt idx="22">
                  <c:v>319.95776135163675</c:v>
                </c:pt>
                <c:pt idx="23">
                  <c:v>349.5248152059134</c:v>
                </c:pt>
                <c:pt idx="24">
                  <c:v>379.09186906019005</c:v>
                </c:pt>
                <c:pt idx="25">
                  <c:v>408.6589229144667</c:v>
                </c:pt>
                <c:pt idx="26">
                  <c:v>438.22597676874341</c:v>
                </c:pt>
                <c:pt idx="27">
                  <c:v>467.79303062302006</c:v>
                </c:pt>
                <c:pt idx="28">
                  <c:v>497.36008447729671</c:v>
                </c:pt>
                <c:pt idx="29">
                  <c:v>526.92713833157336</c:v>
                </c:pt>
                <c:pt idx="30">
                  <c:v>556.49419218585001</c:v>
                </c:pt>
                <c:pt idx="31">
                  <c:v>586.06124604012666</c:v>
                </c:pt>
                <c:pt idx="32">
                  <c:v>615.62829989440331</c:v>
                </c:pt>
                <c:pt idx="33">
                  <c:v>645.19535374868008</c:v>
                </c:pt>
                <c:pt idx="34">
                  <c:v>674.76240760295673</c:v>
                </c:pt>
                <c:pt idx="35">
                  <c:v>704.32946145723338</c:v>
                </c:pt>
                <c:pt idx="36">
                  <c:v>733.89651531151003</c:v>
                </c:pt>
                <c:pt idx="37">
                  <c:v>763.46356916578668</c:v>
                </c:pt>
                <c:pt idx="38">
                  <c:v>793.03062302006333</c:v>
                </c:pt>
                <c:pt idx="39">
                  <c:v>822.59767687433998</c:v>
                </c:pt>
                <c:pt idx="40">
                  <c:v>852.16473072861663</c:v>
                </c:pt>
                <c:pt idx="41">
                  <c:v>881.73178458289328</c:v>
                </c:pt>
                <c:pt idx="42">
                  <c:v>911.29883843716993</c:v>
                </c:pt>
                <c:pt idx="43">
                  <c:v>940.8658922914467</c:v>
                </c:pt>
                <c:pt idx="44">
                  <c:v>970.43294614572335</c:v>
                </c:pt>
                <c:pt idx="45">
                  <c:v>1000</c:v>
                </c:pt>
              </c:numCache>
            </c:numRef>
          </c:cat>
          <c:val>
            <c:numRef>
              <c:f>'Chart Areas'!$N$3:$N$48</c:f>
              <c:numCache>
                <c:formatCode>#,##0</c:formatCode>
                <c:ptCount val="46"/>
                <c:pt idx="12">
                  <c:v>0</c:v>
                </c:pt>
                <c:pt idx="13">
                  <c:v>18952.698449028656</c:v>
                </c:pt>
                <c:pt idx="14">
                  <c:v>37461.038993282593</c:v>
                </c:pt>
                <c:pt idx="15">
                  <c:v>55537.705217312439</c:v>
                </c:pt>
                <c:pt idx="16">
                  <c:v>55660.362978405436</c:v>
                </c:pt>
                <c:pt idx="17">
                  <c:v>55739.296179979458</c:v>
                </c:pt>
                <c:pt idx="18">
                  <c:v>55776.693408657447</c:v>
                </c:pt>
                <c:pt idx="19">
                  <c:v>55774.658982681984</c:v>
                </c:pt>
                <c:pt idx="20">
                  <c:v>55735.215856871451</c:v>
                </c:pt>
                <c:pt idx="21">
                  <c:v>55660.308433366532</c:v>
                </c:pt>
                <c:pt idx="22">
                  <c:v>55551.805281109526</c:v>
                </c:pt>
                <c:pt idx="23">
                  <c:v>55411.501766904141</c:v>
                </c:pt>
                <c:pt idx="24">
                  <c:v>55241.122600820498</c:v>
                </c:pt>
                <c:pt idx="25">
                  <c:v>55042.324298624822</c:v>
                </c:pt>
                <c:pt idx="26">
                  <c:v>53084.900779059331</c:v>
                </c:pt>
                <c:pt idx="27">
                  <c:v>51167.033367489406</c:v>
                </c:pt>
                <c:pt idx="28">
                  <c:v>49288.045626036008</c:v>
                </c:pt>
                <c:pt idx="29">
                  <c:v>47447.271799656446</c:v>
                </c:pt>
                <c:pt idx="30">
                  <c:v>45644.05665495788</c:v>
                </c:pt>
                <c:pt idx="31">
                  <c:v>43877.755321373406</c:v>
                </c:pt>
                <c:pt idx="32">
                  <c:v>42147.733134666982</c:v>
                </c:pt>
                <c:pt idx="33">
                  <c:v>40453.365482733585</c:v>
                </c:pt>
                <c:pt idx="34">
                  <c:v>38794.037653661799</c:v>
                </c:pt>
                <c:pt idx="35">
                  <c:v>19431.979105792241</c:v>
                </c:pt>
                <c:pt idx="36">
                  <c:v>15412.032531735953</c:v>
                </c:pt>
                <c:pt idx="37">
                  <c:v>11459.821985736664</c:v>
                </c:pt>
                <c:pt idx="38">
                  <c:v>7574.3801711546839</c:v>
                </c:pt>
                <c:pt idx="39">
                  <c:v>3754.7531178119243</c:v>
                </c:pt>
                <c:pt idx="40">
                  <c:v>0</c:v>
                </c:pt>
                <c:pt idx="41">
                  <c:v>0</c:v>
                </c:pt>
                <c:pt idx="42">
                  <c:v>0</c:v>
                </c:pt>
                <c:pt idx="43">
                  <c:v>0</c:v>
                </c:pt>
                <c:pt idx="44">
                  <c:v>0</c:v>
                </c:pt>
                <c:pt idx="45">
                  <c:v>0</c:v>
                </c:pt>
              </c:numCache>
            </c:numRef>
          </c:val>
          <c:extLst>
            <c:ext xmlns:c16="http://schemas.microsoft.com/office/drawing/2014/chart" uri="{C3380CC4-5D6E-409C-BE32-E72D297353CC}">
              <c16:uniqueId val="{00000009-1FED-4882-BEBE-85D487F66549}"/>
            </c:ext>
          </c:extLst>
        </c:ser>
        <c:ser>
          <c:idx val="17"/>
          <c:order val="17"/>
          <c:tx>
            <c:strRef>
              <c:f>'Chart Areas'!$O$2</c:f>
              <c:strCache>
                <c:ptCount val="1"/>
                <c:pt idx="0">
                  <c:v>State Measures Emissions Bottom Area</c:v>
                </c:pt>
              </c:strCache>
            </c:strRef>
          </c:tx>
          <c:cat>
            <c:numRef>
              <c:f>'Chart Areas'!$J$3:$J$48</c:f>
              <c:numCache>
                <c:formatCode>General</c:formatCode>
                <c:ptCount val="46"/>
                <c:pt idx="12" formatCode="#,##0">
                  <c:v>21.119324181626187</c:v>
                </c:pt>
                <c:pt idx="13">
                  <c:v>63.357972544878564</c:v>
                </c:pt>
                <c:pt idx="14">
                  <c:v>73.917634635691655</c:v>
                </c:pt>
                <c:pt idx="15">
                  <c:v>116.15628299894404</c:v>
                </c:pt>
                <c:pt idx="16">
                  <c:v>142.55543822597676</c:v>
                </c:pt>
                <c:pt idx="17">
                  <c:v>172.12249208025344</c:v>
                </c:pt>
                <c:pt idx="18">
                  <c:v>201.68954593453009</c:v>
                </c:pt>
                <c:pt idx="19">
                  <c:v>231.25659978880674</c:v>
                </c:pt>
                <c:pt idx="20">
                  <c:v>260.82365364308339</c:v>
                </c:pt>
                <c:pt idx="21">
                  <c:v>290.3907074973601</c:v>
                </c:pt>
                <c:pt idx="22">
                  <c:v>319.95776135163675</c:v>
                </c:pt>
                <c:pt idx="23">
                  <c:v>349.5248152059134</c:v>
                </c:pt>
                <c:pt idx="24">
                  <c:v>379.09186906019005</c:v>
                </c:pt>
                <c:pt idx="25">
                  <c:v>408.6589229144667</c:v>
                </c:pt>
                <c:pt idx="26">
                  <c:v>438.22597676874341</c:v>
                </c:pt>
                <c:pt idx="27">
                  <c:v>467.79303062302006</c:v>
                </c:pt>
                <c:pt idx="28">
                  <c:v>497.36008447729671</c:v>
                </c:pt>
                <c:pt idx="29">
                  <c:v>526.92713833157336</c:v>
                </c:pt>
                <c:pt idx="30">
                  <c:v>556.49419218585001</c:v>
                </c:pt>
                <c:pt idx="31">
                  <c:v>586.06124604012666</c:v>
                </c:pt>
                <c:pt idx="32">
                  <c:v>615.62829989440331</c:v>
                </c:pt>
                <c:pt idx="33">
                  <c:v>645.19535374868008</c:v>
                </c:pt>
                <c:pt idx="34">
                  <c:v>674.76240760295673</c:v>
                </c:pt>
                <c:pt idx="35">
                  <c:v>704.32946145723338</c:v>
                </c:pt>
                <c:pt idx="36">
                  <c:v>733.89651531151003</c:v>
                </c:pt>
                <c:pt idx="37">
                  <c:v>763.46356916578668</c:v>
                </c:pt>
                <c:pt idx="38">
                  <c:v>793.03062302006333</c:v>
                </c:pt>
                <c:pt idx="39">
                  <c:v>822.59767687433998</c:v>
                </c:pt>
                <c:pt idx="40">
                  <c:v>852.16473072861663</c:v>
                </c:pt>
                <c:pt idx="41">
                  <c:v>881.73178458289328</c:v>
                </c:pt>
                <c:pt idx="42">
                  <c:v>911.29883843716993</c:v>
                </c:pt>
                <c:pt idx="43">
                  <c:v>940.8658922914467</c:v>
                </c:pt>
                <c:pt idx="44">
                  <c:v>970.43294614572335</c:v>
                </c:pt>
                <c:pt idx="45">
                  <c:v>1000</c:v>
                </c:pt>
              </c:numCache>
            </c:numRef>
          </c:cat>
          <c:val>
            <c:numRef>
              <c:f>'Chart Areas'!$O$3:$O$48</c:f>
              <c:numCache>
                <c:formatCode>General</c:formatCode>
                <c:ptCount val="46"/>
                <c:pt idx="12" formatCode="#,##0">
                  <c:v>0</c:v>
                </c:pt>
                <c:pt idx="13" formatCode="#,##0">
                  <c:v>0</c:v>
                </c:pt>
                <c:pt idx="14" formatCode="#,##0">
                  <c:v>0</c:v>
                </c:pt>
                <c:pt idx="15" formatCode="#,##0">
                  <c:v>0</c:v>
                </c:pt>
                <c:pt idx="16" formatCode="#,##0">
                  <c:v>0</c:v>
                </c:pt>
                <c:pt idx="17" formatCode="#,##0">
                  <c:v>0</c:v>
                </c:pt>
                <c:pt idx="18" formatCode="#,##0">
                  <c:v>0</c:v>
                </c:pt>
                <c:pt idx="19" formatCode="#,##0">
                  <c:v>0</c:v>
                </c:pt>
                <c:pt idx="20" formatCode="#,##0">
                  <c:v>0</c:v>
                </c:pt>
                <c:pt idx="21" formatCode="#,##0">
                  <c:v>0</c:v>
                </c:pt>
                <c:pt idx="22" formatCode="#,##0">
                  <c:v>0</c:v>
                </c:pt>
                <c:pt idx="23" formatCode="#,##0">
                  <c:v>0</c:v>
                </c:pt>
                <c:pt idx="24" formatCode="#,##0">
                  <c:v>0</c:v>
                </c:pt>
                <c:pt idx="25" formatCode="#,##0">
                  <c:v>0</c:v>
                </c:pt>
                <c:pt idx="26" formatCode="#,##0">
                  <c:v>0</c:v>
                </c:pt>
                <c:pt idx="27" formatCode="#,##0">
                  <c:v>0</c:v>
                </c:pt>
                <c:pt idx="28" formatCode="#,##0">
                  <c:v>0</c:v>
                </c:pt>
                <c:pt idx="29" formatCode="#,##0">
                  <c:v>0</c:v>
                </c:pt>
                <c:pt idx="30" formatCode="#,##0">
                  <c:v>0</c:v>
                </c:pt>
                <c:pt idx="31" formatCode="#,##0">
                  <c:v>0</c:v>
                </c:pt>
                <c:pt idx="32" formatCode="#,##0">
                  <c:v>0</c:v>
                </c:pt>
                <c:pt idx="33" formatCode="#,##0">
                  <c:v>0</c:v>
                </c:pt>
                <c:pt idx="34" formatCode="#,##0">
                  <c:v>0</c:v>
                </c:pt>
                <c:pt idx="35" formatCode="#,##0">
                  <c:v>0</c:v>
                </c:pt>
                <c:pt idx="36" formatCode="#,##0">
                  <c:v>0</c:v>
                </c:pt>
                <c:pt idx="37" formatCode="#,##0">
                  <c:v>0</c:v>
                </c:pt>
                <c:pt idx="38" formatCode="#,##0">
                  <c:v>0</c:v>
                </c:pt>
                <c:pt idx="39" formatCode="#,##0">
                  <c:v>0</c:v>
                </c:pt>
                <c:pt idx="40" formatCode="#,##0">
                  <c:v>0</c:v>
                </c:pt>
                <c:pt idx="41" formatCode="#,##0">
                  <c:v>0</c:v>
                </c:pt>
                <c:pt idx="42" formatCode="#,##0">
                  <c:v>0</c:v>
                </c:pt>
                <c:pt idx="43" formatCode="#,##0">
                  <c:v>0</c:v>
                </c:pt>
                <c:pt idx="44" formatCode="#,##0">
                  <c:v>0</c:v>
                </c:pt>
                <c:pt idx="45" formatCode="#,##0">
                  <c:v>0</c:v>
                </c:pt>
              </c:numCache>
            </c:numRef>
          </c:val>
          <c:extLst>
            <c:ext xmlns:c16="http://schemas.microsoft.com/office/drawing/2014/chart" uri="{C3380CC4-5D6E-409C-BE32-E72D297353CC}">
              <c16:uniqueId val="{0000000A-1FED-4882-BEBE-85D487F66549}"/>
            </c:ext>
          </c:extLst>
        </c:ser>
        <c:ser>
          <c:idx val="18"/>
          <c:order val="18"/>
          <c:tx>
            <c:strRef>
              <c:f>'Chart Areas'!$P$2</c:f>
              <c:strCache>
                <c:ptCount val="1"/>
                <c:pt idx="0">
                  <c:v>Emissions Delta with BAU w/State Measures</c:v>
                </c:pt>
              </c:strCache>
            </c:strRef>
          </c:tx>
          <c:spPr>
            <a:solidFill>
              <a:schemeClr val="accent4">
                <a:lumMod val="60000"/>
                <a:lumOff val="40000"/>
              </a:schemeClr>
            </a:solidFill>
          </c:spPr>
          <c:cat>
            <c:numRef>
              <c:f>'Chart Areas'!$J$3:$J$48</c:f>
              <c:numCache>
                <c:formatCode>General</c:formatCode>
                <c:ptCount val="46"/>
                <c:pt idx="12" formatCode="#,##0">
                  <c:v>21.119324181626187</c:v>
                </c:pt>
                <c:pt idx="13">
                  <c:v>63.357972544878564</c:v>
                </c:pt>
                <c:pt idx="14">
                  <c:v>73.917634635691655</c:v>
                </c:pt>
                <c:pt idx="15">
                  <c:v>116.15628299894404</c:v>
                </c:pt>
                <c:pt idx="16">
                  <c:v>142.55543822597676</c:v>
                </c:pt>
                <c:pt idx="17">
                  <c:v>172.12249208025344</c:v>
                </c:pt>
                <c:pt idx="18">
                  <c:v>201.68954593453009</c:v>
                </c:pt>
                <c:pt idx="19">
                  <c:v>231.25659978880674</c:v>
                </c:pt>
                <c:pt idx="20">
                  <c:v>260.82365364308339</c:v>
                </c:pt>
                <c:pt idx="21">
                  <c:v>290.3907074973601</c:v>
                </c:pt>
                <c:pt idx="22">
                  <c:v>319.95776135163675</c:v>
                </c:pt>
                <c:pt idx="23">
                  <c:v>349.5248152059134</c:v>
                </c:pt>
                <c:pt idx="24">
                  <c:v>379.09186906019005</c:v>
                </c:pt>
                <c:pt idx="25">
                  <c:v>408.6589229144667</c:v>
                </c:pt>
                <c:pt idx="26">
                  <c:v>438.22597676874341</c:v>
                </c:pt>
                <c:pt idx="27">
                  <c:v>467.79303062302006</c:v>
                </c:pt>
                <c:pt idx="28">
                  <c:v>497.36008447729671</c:v>
                </c:pt>
                <c:pt idx="29">
                  <c:v>526.92713833157336</c:v>
                </c:pt>
                <c:pt idx="30">
                  <c:v>556.49419218585001</c:v>
                </c:pt>
                <c:pt idx="31">
                  <c:v>586.06124604012666</c:v>
                </c:pt>
                <c:pt idx="32">
                  <c:v>615.62829989440331</c:v>
                </c:pt>
                <c:pt idx="33">
                  <c:v>645.19535374868008</c:v>
                </c:pt>
                <c:pt idx="34">
                  <c:v>674.76240760295673</c:v>
                </c:pt>
                <c:pt idx="35">
                  <c:v>704.32946145723338</c:v>
                </c:pt>
                <c:pt idx="36">
                  <c:v>733.89651531151003</c:v>
                </c:pt>
                <c:pt idx="37">
                  <c:v>763.46356916578668</c:v>
                </c:pt>
                <c:pt idx="38">
                  <c:v>793.03062302006333</c:v>
                </c:pt>
                <c:pt idx="39">
                  <c:v>822.59767687433998</c:v>
                </c:pt>
                <c:pt idx="40">
                  <c:v>852.16473072861663</c:v>
                </c:pt>
                <c:pt idx="41">
                  <c:v>881.73178458289328</c:v>
                </c:pt>
                <c:pt idx="42">
                  <c:v>911.29883843716993</c:v>
                </c:pt>
                <c:pt idx="43">
                  <c:v>940.8658922914467</c:v>
                </c:pt>
                <c:pt idx="44">
                  <c:v>970.43294614572335</c:v>
                </c:pt>
                <c:pt idx="45">
                  <c:v>1000</c:v>
                </c:pt>
              </c:numCache>
            </c:numRef>
          </c:cat>
          <c:val>
            <c:numRef>
              <c:f>'Chart Areas'!$P$3:$P$48</c:f>
              <c:numCache>
                <c:formatCode>General</c:formatCode>
                <c:ptCount val="46"/>
                <c:pt idx="12" formatCode="#,##0">
                  <c:v>0</c:v>
                </c:pt>
                <c:pt idx="13" formatCode="#,##0">
                  <c:v>137.43546332907863</c:v>
                </c:pt>
                <c:pt idx="14" formatCode="#,##0">
                  <c:v>276.08670483517926</c:v>
                </c:pt>
                <c:pt idx="15" formatCode="#,##0">
                  <c:v>415.96179261535872</c:v>
                </c:pt>
                <c:pt idx="16" formatCode="#,##0">
                  <c:v>17210.326459851698</c:v>
                </c:pt>
                <c:pt idx="17" formatCode="#,##0">
                  <c:v>33649.388235989958</c:v>
                </c:pt>
                <c:pt idx="18" formatCode="#,##0">
                  <c:v>49742.086707792012</c:v>
                </c:pt>
                <c:pt idx="19" formatCode="#,##0">
                  <c:v>65497.14223218488</c:v>
                </c:pt>
                <c:pt idx="20" formatCode="#,##0">
                  <c:v>80923.061331703444</c:v>
                </c:pt>
                <c:pt idx="21" formatCode="#,##0">
                  <c:v>96028.141957213636</c:v>
                </c:pt>
                <c:pt idx="22" formatCode="#,##0">
                  <c:v>110820.47862117883</c:v>
                </c:pt>
                <c:pt idx="23" formatCode="#,##0">
                  <c:v>125307.96740465629</c:v>
                </c:pt>
                <c:pt idx="24" formatCode="#,##0">
                  <c:v>139498.31084112881</c:v>
                </c:pt>
                <c:pt idx="25" formatCode="#,##0">
                  <c:v>153399.02268020075</c:v>
                </c:pt>
                <c:pt idx="26" formatCode="#,##0">
                  <c:v>162045.25365798303</c:v>
                </c:pt>
                <c:pt idx="27" formatCode="#,##0">
                  <c:v>170613.39676055161</c:v>
                </c:pt>
                <c:pt idx="28" formatCode="#,##0">
                  <c:v>179104.66159358789</c:v>
                </c:pt>
                <c:pt idx="29" formatCode="#,##0">
                  <c:v>187520.24183331378</c:v>
                </c:pt>
                <c:pt idx="30" formatCode="#,##0">
                  <c:v>195861.31544538174</c:v>
                </c:pt>
                <c:pt idx="31" formatCode="#,##0">
                  <c:v>204129.04490079178</c:v>
                </c:pt>
                <c:pt idx="32" formatCode="#,##0">
                  <c:v>212324.57738887658</c:v>
                </c:pt>
                <c:pt idx="33" formatCode="#,##0">
                  <c:v>220449.04502739321</c:v>
                </c:pt>
                <c:pt idx="34" formatCode="#,##0">
                  <c:v>228503.56506976217</c:v>
                </c:pt>
                <c:pt idx="35" formatCode="#,##0">
                  <c:v>254226.405689726</c:v>
                </c:pt>
                <c:pt idx="36" formatCode="#,##0">
                  <c:v>262118.70809690433</c:v>
                </c:pt>
                <c:pt idx="37" formatCode="#,##0">
                  <c:v>269949.28267148498</c:v>
                </c:pt>
                <c:pt idx="38" formatCode="#,##0">
                  <c:v>277719.15410958091</c:v>
                </c:pt>
                <c:pt idx="39" formatCode="#,##0">
                  <c:v>285429.33389711921</c:v>
                </c:pt>
                <c:pt idx="40" formatCode="#,##0">
                  <c:v>293080.8204926991</c:v>
                </c:pt>
                <c:pt idx="41" formatCode="#,##0">
                  <c:v>302500.68589748337</c:v>
                </c:pt>
                <c:pt idx="42" formatCode="#,##0">
                  <c:v>311808.31250865397</c:v>
                </c:pt>
                <c:pt idx="43" formatCode="#,##0">
                  <c:v>321006.02358781715</c:v>
                </c:pt>
                <c:pt idx="44" formatCode="#,##0">
                  <c:v>330096.10062498588</c:v>
                </c:pt>
                <c:pt idx="45" formatCode="#,##0">
                  <c:v>339080.78411292878</c:v>
                </c:pt>
              </c:numCache>
            </c:numRef>
          </c:val>
          <c:extLst>
            <c:ext xmlns:c16="http://schemas.microsoft.com/office/drawing/2014/chart" uri="{C3380CC4-5D6E-409C-BE32-E72D297353CC}">
              <c16:uniqueId val="{0000000B-1FED-4882-BEBE-85D487F66549}"/>
            </c:ext>
          </c:extLst>
        </c:ser>
        <c:dLbls>
          <c:showLegendKey val="0"/>
          <c:showVal val="0"/>
          <c:showCatName val="0"/>
          <c:showSerName val="0"/>
          <c:showPercent val="0"/>
          <c:showBubbleSize val="0"/>
        </c:dLbls>
        <c:axId val="675885064"/>
        <c:axId val="675884736"/>
      </c:areaChart>
      <c:lineChart>
        <c:grouping val="standard"/>
        <c:varyColors val="0"/>
        <c:ser>
          <c:idx val="1"/>
          <c:order val="0"/>
          <c:tx>
            <c:strRef>
              <c:f>Forecast!$M$72</c:f>
              <c:strCache>
                <c:ptCount val="1"/>
                <c:pt idx="0">
                  <c:v>Historical Emissions</c:v>
                </c:pt>
              </c:strCache>
            </c:strRef>
          </c:tx>
          <c:spPr>
            <a:ln>
              <a:solidFill>
                <a:schemeClr val="tx2"/>
              </a:solidFill>
              <a:prstDash val="sysDash"/>
            </a:ln>
          </c:spPr>
          <c:marker>
            <c:symbol val="none"/>
          </c:marker>
          <c:dLbls>
            <c:dLbl>
              <c:idx val="0"/>
              <c:layout>
                <c:manualLayout>
                  <c:x val="-1.4060238063472315E-2"/>
                  <c:y val="-2.8892571144882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24-4F95-964B-F67B236ED6A6}"/>
                </c:ext>
              </c:extLst>
            </c:dLbl>
            <c:spPr>
              <a:noFill/>
              <a:ln>
                <a:noFill/>
              </a:ln>
              <a:effectLst/>
            </c:spPr>
            <c:txPr>
              <a:bodyPr wrap="square" lIns="38100" tIns="19050" rIns="38100" bIns="19050" anchor="ctr">
                <a:spAutoFit/>
              </a:bodyPr>
              <a:lstStyle/>
              <a:p>
                <a:pPr>
                  <a:defRPr sz="1200" b="1" baseline="0">
                    <a:solidFill>
                      <a:schemeClr val="accent2">
                        <a:lumMod val="50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Forecast!$M$73:$M$98</c:f>
              <c:numCache>
                <c:formatCode>#,##0</c:formatCode>
                <c:ptCount val="26"/>
                <c:pt idx="0">
                  <c:v>640161</c:v>
                </c:pt>
                <c:pt idx="1">
                  <c:v>635528.19944884523</c:v>
                </c:pt>
                <c:pt idx="2">
                  <c:v>630928.92615246982</c:v>
                </c:pt>
                <c:pt idx="3">
                  <c:v>626362.93747646699</c:v>
                </c:pt>
                <c:pt idx="4">
                  <c:v>621829.99254235835</c:v>
                </c:pt>
                <c:pt idx="5">
                  <c:v>617329.85221488657</c:v>
                </c:pt>
                <c:pt idx="6">
                  <c:v>651403.96128689277</c:v>
                </c:pt>
                <c:pt idx="7">
                  <c:v>633575.88822386845</c:v>
                </c:pt>
                <c:pt idx="8">
                  <c:v>609917.00519148994</c:v>
                </c:pt>
                <c:pt idx="9">
                  <c:v>592966.77306912187</c:v>
                </c:pt>
                <c:pt idx="10">
                  <c:v>590000</c:v>
                </c:pt>
                <c:pt idx="11">
                  <c:v>588000</c:v>
                </c:pt>
                <c:pt idx="12">
                  <c:v>591175.85452811304</c:v>
                </c:pt>
              </c:numCache>
            </c:numRef>
          </c:val>
          <c:smooth val="0"/>
          <c:extLst>
            <c:ext xmlns:c16="http://schemas.microsoft.com/office/drawing/2014/chart" uri="{C3380CC4-5D6E-409C-BE32-E72D297353CC}">
              <c16:uniqueId val="{00000001-F124-4F95-964B-F67B236ED6A6}"/>
            </c:ext>
          </c:extLst>
        </c:ser>
        <c:ser>
          <c:idx val="0"/>
          <c:order val="1"/>
          <c:tx>
            <c:strRef>
              <c:f>Forecast!$C$72</c:f>
              <c:strCache>
                <c:ptCount val="1"/>
                <c:pt idx="0">
                  <c:v>BAU Projections</c:v>
                </c:pt>
              </c:strCache>
            </c:strRef>
          </c:tx>
          <c:spPr>
            <a:ln>
              <a:solidFill>
                <a:schemeClr val="accent6">
                  <a:lumMod val="50000"/>
                </a:schemeClr>
              </a:solidFill>
              <a:prstDash val="solid"/>
            </a:ln>
          </c:spPr>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Forecast!$C$73:$C$118</c:f>
              <c:numCache>
                <c:formatCode>#,##0</c:formatCode>
                <c:ptCount val="46"/>
                <c:pt idx="12">
                  <c:v>591175.85452811304</c:v>
                </c:pt>
                <c:pt idx="13">
                  <c:v>593859.39482943667</c:v>
                </c:pt>
                <c:pt idx="14">
                  <c:v>596555.11659672111</c:v>
                </c:pt>
                <c:pt idx="15">
                  <c:v>599263.07512561919</c:v>
                </c:pt>
                <c:pt idx="16">
                  <c:v>601325.71721995983</c:v>
                </c:pt>
                <c:pt idx="17">
                  <c:v>603395.4588546959</c:v>
                </c:pt>
                <c:pt idx="18">
                  <c:v>605472.32446619181</c:v>
                </c:pt>
                <c:pt idx="19">
                  <c:v>607556.33857492101</c:v>
                </c:pt>
                <c:pt idx="20">
                  <c:v>609647.5257857556</c:v>
                </c:pt>
                <c:pt idx="21">
                  <c:v>611745.91078825679</c:v>
                </c:pt>
                <c:pt idx="22">
                  <c:v>613851.51835696632</c:v>
                </c:pt>
                <c:pt idx="23">
                  <c:v>615964.37335169897</c:v>
                </c:pt>
                <c:pt idx="24">
                  <c:v>618084.5007178362</c:v>
                </c:pt>
                <c:pt idx="25">
                  <c:v>620211.92548662017</c:v>
                </c:pt>
                <c:pt idx="26">
                  <c:v>622502.06068543857</c:v>
                </c:pt>
                <c:pt idx="27">
                  <c:v>624800.65221831528</c:v>
                </c:pt>
                <c:pt idx="28">
                  <c:v>627107.73131030018</c:v>
                </c:pt>
                <c:pt idx="29">
                  <c:v>629423.32930174167</c:v>
                </c:pt>
                <c:pt idx="30">
                  <c:v>631747.47764871269</c:v>
                </c:pt>
                <c:pt idx="31">
                  <c:v>634080.20792343759</c:v>
                </c:pt>
                <c:pt idx="32">
                  <c:v>636421.55181472155</c:v>
                </c:pt>
                <c:pt idx="33">
                  <c:v>638771.54112838069</c:v>
                </c:pt>
                <c:pt idx="34">
                  <c:v>641130.20778767439</c:v>
                </c:pt>
                <c:pt idx="35">
                  <c:v>643497.58383373905</c:v>
                </c:pt>
                <c:pt idx="36">
                  <c:v>646089.59381669643</c:v>
                </c:pt>
                <c:pt idx="37">
                  <c:v>648692.04442277434</c:v>
                </c:pt>
                <c:pt idx="38">
                  <c:v>651304.97770683048</c:v>
                </c:pt>
                <c:pt idx="39">
                  <c:v>653928.43589311966</c:v>
                </c:pt>
                <c:pt idx="40">
                  <c:v>656562.4613759761</c:v>
                </c:pt>
                <c:pt idx="41">
                  <c:v>659282.193498004</c:v>
                </c:pt>
                <c:pt idx="42">
                  <c:v>662013.19178776268</c:v>
                </c:pt>
                <c:pt idx="43">
                  <c:v>664755.50291401567</c:v>
                </c:pt>
                <c:pt idx="44">
                  <c:v>667509.17373884632</c:v>
                </c:pt>
                <c:pt idx="45">
                  <c:v>670274.25131845882</c:v>
                </c:pt>
              </c:numCache>
            </c:numRef>
          </c:val>
          <c:smooth val="0"/>
          <c:extLst>
            <c:ext xmlns:c16="http://schemas.microsoft.com/office/drawing/2014/chart" uri="{C3380CC4-5D6E-409C-BE32-E72D297353CC}">
              <c16:uniqueId val="{00000003-F124-4F95-964B-F67B236ED6A6}"/>
            </c:ext>
          </c:extLst>
        </c:ser>
        <c:ser>
          <c:idx val="3"/>
          <c:order val="2"/>
          <c:tx>
            <c:strRef>
              <c:f>Forecast!$D$72</c:f>
              <c:strCache>
                <c:ptCount val="1"/>
                <c:pt idx="0">
                  <c:v>BAU Projections w/ State Measures</c:v>
                </c:pt>
              </c:strCache>
            </c:strRef>
          </c:tx>
          <c:spPr>
            <a:ln>
              <a:solidFill>
                <a:schemeClr val="tx2">
                  <a:lumMod val="60000"/>
                  <a:lumOff val="40000"/>
                </a:schemeClr>
              </a:solidFill>
            </a:ln>
          </c:spPr>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Forecast!$D$73:$D$118</c:f>
              <c:numCache>
                <c:formatCode>#,##0</c:formatCode>
                <c:ptCount val="46"/>
                <c:pt idx="12">
                  <c:v>591175.85452811304</c:v>
                </c:pt>
                <c:pt idx="13">
                  <c:v>593721.95936610759</c:v>
                </c:pt>
                <c:pt idx="14">
                  <c:v>596279.02989188593</c:v>
                </c:pt>
                <c:pt idx="15">
                  <c:v>598847.11333300383</c:v>
                </c:pt>
                <c:pt idx="16">
                  <c:v>584115.39076010813</c:v>
                </c:pt>
                <c:pt idx="17">
                  <c:v>569746.07061870594</c:v>
                </c:pt>
                <c:pt idx="18">
                  <c:v>555730.2377583998</c:v>
                </c:pt>
                <c:pt idx="19">
                  <c:v>542059.19634273613</c:v>
                </c:pt>
                <c:pt idx="20">
                  <c:v>528724.46445405215</c:v>
                </c:pt>
                <c:pt idx="21">
                  <c:v>515717.76883104315</c:v>
                </c:pt>
                <c:pt idx="22">
                  <c:v>503031.03973578749</c:v>
                </c:pt>
                <c:pt idx="23">
                  <c:v>490656.40594704269</c:v>
                </c:pt>
                <c:pt idx="24">
                  <c:v>478586.18987670739</c:v>
                </c:pt>
                <c:pt idx="25">
                  <c:v>466812.90280641941</c:v>
                </c:pt>
                <c:pt idx="26">
                  <c:v>460456.80702745554</c:v>
                </c:pt>
                <c:pt idx="27">
                  <c:v>454187.25545776368</c:v>
                </c:pt>
                <c:pt idx="28">
                  <c:v>448003.06971671229</c:v>
                </c:pt>
                <c:pt idx="29">
                  <c:v>441903.0874684279</c:v>
                </c:pt>
                <c:pt idx="30">
                  <c:v>435886.16220333095</c:v>
                </c:pt>
                <c:pt idx="31">
                  <c:v>429951.16302264581</c:v>
                </c:pt>
                <c:pt idx="32">
                  <c:v>424096.97442584496</c:v>
                </c:pt>
                <c:pt idx="33">
                  <c:v>418322.49610098748</c:v>
                </c:pt>
                <c:pt idx="34">
                  <c:v>412626.64271791221</c:v>
                </c:pt>
                <c:pt idx="35">
                  <c:v>389271.17814401304</c:v>
                </c:pt>
                <c:pt idx="36">
                  <c:v>383970.8857197921</c:v>
                </c:pt>
                <c:pt idx="37">
                  <c:v>378742.76175128936</c:v>
                </c:pt>
                <c:pt idx="38">
                  <c:v>373585.82359724957</c:v>
                </c:pt>
                <c:pt idx="39">
                  <c:v>368499.10199600045</c:v>
                </c:pt>
                <c:pt idx="40">
                  <c:v>363481.640883277</c:v>
                </c:pt>
                <c:pt idx="41">
                  <c:v>356781.50760052062</c:v>
                </c:pt>
                <c:pt idx="42">
                  <c:v>350204.87927910872</c:v>
                </c:pt>
                <c:pt idx="43">
                  <c:v>343749.47932619852</c:v>
                </c:pt>
                <c:pt idx="44">
                  <c:v>337413.07311386045</c:v>
                </c:pt>
                <c:pt idx="45">
                  <c:v>331193.46720553003</c:v>
                </c:pt>
              </c:numCache>
            </c:numRef>
          </c:val>
          <c:smooth val="0"/>
          <c:extLst>
            <c:ext xmlns:c16="http://schemas.microsoft.com/office/drawing/2014/chart" uri="{C3380CC4-5D6E-409C-BE32-E72D297353CC}">
              <c16:uniqueId val="{00000005-F124-4F95-964B-F67B236ED6A6}"/>
            </c:ext>
          </c:extLst>
        </c:ser>
        <c:ser>
          <c:idx val="4"/>
          <c:order val="3"/>
          <c:tx>
            <c:strRef>
              <c:f>Forecast!$E$72</c:f>
              <c:strCache>
                <c:ptCount val="1"/>
                <c:pt idx="0">
                  <c:v>BAU Projections w/ State Measures + PCE</c:v>
                </c:pt>
              </c:strCache>
            </c:strRef>
          </c:tx>
          <c:spPr>
            <a:ln>
              <a:solidFill>
                <a:srgbClr val="FFC000"/>
              </a:solidFill>
              <a:prstDash val="solid"/>
            </a:ln>
          </c:spPr>
          <c:marker>
            <c:symbol val="none"/>
          </c:marker>
          <c:dLbls>
            <c:dLbl>
              <c:idx val="40"/>
              <c:layout>
                <c:manualLayout>
                  <c:x val="-2.6337824444667972E-2"/>
                  <c:y val="-2.7489394425136836E-2"/>
                </c:manualLayout>
              </c:layout>
              <c:spPr>
                <a:noFill/>
                <a:ln>
                  <a:noFill/>
                </a:ln>
                <a:effectLst/>
              </c:spPr>
              <c:txPr>
                <a:bodyPr wrap="square" lIns="38100" tIns="19050" rIns="38100" bIns="19050" anchor="ctr">
                  <a:spAutoFit/>
                </a:bodyPr>
                <a:lstStyle/>
                <a:p>
                  <a:pPr>
                    <a:defRPr sz="1200" b="1">
                      <a:solidFill>
                        <a:schemeClr val="accent4">
                          <a:lumMod val="75000"/>
                        </a:schemeClr>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0-8585-4F02-B286-B4C7AD24069C}"/>
                </c:ext>
              </c:extLst>
            </c:dLbl>
            <c:spPr>
              <a:noFill/>
              <a:ln>
                <a:noFill/>
              </a:ln>
              <a:effectLst/>
            </c:spPr>
            <c:txPr>
              <a:bodyPr wrap="square" lIns="38100" tIns="19050" rIns="38100" bIns="19050" anchor="ctr">
                <a:spAutoFit/>
              </a:bodyPr>
              <a:lstStyle/>
              <a:p>
                <a:pPr>
                  <a:defRPr sz="1200">
                    <a:solidFill>
                      <a:schemeClr val="accent4">
                        <a:lumMod val="7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Forecast!$E$73:$E$118</c:f>
              <c:numCache>
                <c:formatCode>#,##0</c:formatCode>
                <c:ptCount val="46"/>
                <c:pt idx="12">
                  <c:v>591175.85452811304</c:v>
                </c:pt>
                <c:pt idx="13">
                  <c:v>574769.26091707894</c:v>
                </c:pt>
                <c:pt idx="14">
                  <c:v>558817.99089860334</c:v>
                </c:pt>
                <c:pt idx="15">
                  <c:v>543309.40811569139</c:v>
                </c:pt>
                <c:pt idx="16">
                  <c:v>528455.02778170269</c:v>
                </c:pt>
                <c:pt idx="17">
                  <c:v>514006.77443872648</c:v>
                </c:pt>
                <c:pt idx="18">
                  <c:v>499953.54434974235</c:v>
                </c:pt>
                <c:pt idx="19">
                  <c:v>486284.53736005415</c:v>
                </c:pt>
                <c:pt idx="20">
                  <c:v>472989.2485971807</c:v>
                </c:pt>
                <c:pt idx="21">
                  <c:v>460057.46039767662</c:v>
                </c:pt>
                <c:pt idx="22">
                  <c:v>447479.23445467796</c:v>
                </c:pt>
                <c:pt idx="23">
                  <c:v>435244.90418013855</c:v>
                </c:pt>
                <c:pt idx="24">
                  <c:v>423345.06727588689</c:v>
                </c:pt>
                <c:pt idx="25">
                  <c:v>411770.57850779459</c:v>
                </c:pt>
                <c:pt idx="26">
                  <c:v>407371.9062483962</c:v>
                </c:pt>
                <c:pt idx="27">
                  <c:v>403020.22209027427</c:v>
                </c:pt>
                <c:pt idx="28">
                  <c:v>398715.02409067628</c:v>
                </c:pt>
                <c:pt idx="29">
                  <c:v>394455.81566877145</c:v>
                </c:pt>
                <c:pt idx="30">
                  <c:v>390242.10554837307</c:v>
                </c:pt>
                <c:pt idx="31">
                  <c:v>386073.4077012724</c:v>
                </c:pt>
                <c:pt idx="32">
                  <c:v>381949.24129117798</c:v>
                </c:pt>
                <c:pt idx="33">
                  <c:v>377869.1306182539</c:v>
                </c:pt>
                <c:pt idx="34">
                  <c:v>373832.60506425041</c:v>
                </c:pt>
                <c:pt idx="35">
                  <c:v>369839.1990382208</c:v>
                </c:pt>
                <c:pt idx="36">
                  <c:v>368558.85318805615</c:v>
                </c:pt>
                <c:pt idx="37">
                  <c:v>367282.9397655527</c:v>
                </c:pt>
                <c:pt idx="38">
                  <c:v>366011.44342609489</c:v>
                </c:pt>
                <c:pt idx="39">
                  <c:v>364744.34887818852</c:v>
                </c:pt>
                <c:pt idx="40">
                  <c:v>363481.640883277</c:v>
                </c:pt>
                <c:pt idx="41">
                  <c:v>356781.50760052062</c:v>
                </c:pt>
                <c:pt idx="42">
                  <c:v>350204.87927910872</c:v>
                </c:pt>
                <c:pt idx="43">
                  <c:v>343749.47932619852</c:v>
                </c:pt>
                <c:pt idx="44">
                  <c:v>337413.07311386045</c:v>
                </c:pt>
                <c:pt idx="45">
                  <c:v>331193.46720553003</c:v>
                </c:pt>
              </c:numCache>
            </c:numRef>
          </c:val>
          <c:smooth val="0"/>
          <c:extLst>
            <c:ext xmlns:c16="http://schemas.microsoft.com/office/drawing/2014/chart" uri="{C3380CC4-5D6E-409C-BE32-E72D297353CC}">
              <c16:uniqueId val="{00000001-566F-4809-9FF2-CC6D0844C29A}"/>
            </c:ext>
          </c:extLst>
        </c:ser>
        <c:ser>
          <c:idx val="5"/>
          <c:order val="4"/>
          <c:tx>
            <c:strRef>
              <c:f>Forecast!$H$72</c:f>
              <c:strCache>
                <c:ptCount val="1"/>
                <c:pt idx="0">
                  <c:v>2020 Target: 15% Below 2005</c:v>
                </c:pt>
              </c:strCache>
            </c:strRef>
          </c:tx>
          <c:spPr>
            <a:ln w="19050" cmpd="sng">
              <a:solidFill>
                <a:schemeClr val="tx2"/>
              </a:solidFill>
              <a:prstDash val="dash"/>
            </a:ln>
          </c:spPr>
          <c:marker>
            <c:symbol val="none"/>
          </c:marker>
          <c:dLbls>
            <c:dLbl>
              <c:idx val="5"/>
              <c:layout>
                <c:manualLayout>
                  <c:x val="-7.0769884713601086E-2"/>
                  <c:y val="3.9653293825813965E-2"/>
                </c:manualLayout>
              </c:layout>
              <c:tx>
                <c:rich>
                  <a:bodyPr wrap="square" lIns="38100" tIns="19050" rIns="38100" bIns="19050" anchor="ctr">
                    <a:noAutofit/>
                  </a:bodyPr>
                  <a:lstStyle/>
                  <a:p>
                    <a:pPr>
                      <a:defRPr sz="1200" b="1">
                        <a:solidFill>
                          <a:schemeClr val="tx2"/>
                        </a:solidFill>
                      </a:defRPr>
                    </a:pPr>
                    <a:fld id="{DB2A70FB-8BD2-4C3E-A855-0BF1DCABE7A0}" type="SERIESNAME">
                      <a:rPr lang="en-US" sz="900">
                        <a:solidFill>
                          <a:schemeClr val="tx2"/>
                        </a:solidFill>
                      </a:rPr>
                      <a:pPr>
                        <a:defRPr sz="1200" b="1">
                          <a:solidFill>
                            <a:schemeClr val="tx2"/>
                          </a:solidFill>
                        </a:defRPr>
                      </a:pPr>
                      <a:t>[SERIES NAME]</a:t>
                    </a:fld>
                    <a:r>
                      <a:rPr lang="en-US" baseline="0">
                        <a:solidFill>
                          <a:schemeClr val="tx2"/>
                        </a:solidFill>
                      </a:rPr>
                      <a:t>, </a:t>
                    </a:r>
                    <a:fld id="{FA39CE64-55B2-46F5-98F1-F46CF59227A7}" type="VALUE">
                      <a:rPr lang="en-US" sz="900" baseline="0">
                        <a:solidFill>
                          <a:schemeClr val="tx2"/>
                        </a:solidFill>
                      </a:rPr>
                      <a:pPr>
                        <a:defRPr sz="1200" b="1">
                          <a:solidFill>
                            <a:schemeClr val="tx2"/>
                          </a:solidFill>
                        </a:defRPr>
                      </a:pPr>
                      <a:t>[VALUE]</a:t>
                    </a:fld>
                    <a:endParaRPr lang="en-US" baseline="0">
                      <a:solidFill>
                        <a:schemeClr val="tx2"/>
                      </a:solidFill>
                    </a:endParaRPr>
                  </a:p>
                </c:rich>
              </c:tx>
              <c:spPr>
                <a:noFill/>
                <a:ln>
                  <a:noFill/>
                </a:ln>
                <a:effectLst/>
              </c:spPr>
              <c:dLblPos val="r"/>
              <c:showLegendKey val="0"/>
              <c:showVal val="1"/>
              <c:showCatName val="0"/>
              <c:showSerName val="1"/>
              <c:showPercent val="0"/>
              <c:showBubbleSize val="0"/>
              <c:extLst>
                <c:ext xmlns:c15="http://schemas.microsoft.com/office/drawing/2012/chart" uri="{CE6537A1-D6FC-4f65-9D91-7224C49458BB}">
                  <c15:layout>
                    <c:manualLayout>
                      <c:w val="0.15066277872056144"/>
                      <c:h val="8.8328488975847094E-2"/>
                    </c:manualLayout>
                  </c15:layout>
                  <c15:dlblFieldTable/>
                  <c15:showDataLabelsRange val="0"/>
                </c:ext>
                <c:ext xmlns:c16="http://schemas.microsoft.com/office/drawing/2014/chart" uri="{C3380CC4-5D6E-409C-BE32-E72D297353CC}">
                  <c16:uniqueId val="{0000000C-1FED-4882-BEBE-85D487F66549}"/>
                </c:ext>
              </c:extLst>
            </c:dLbl>
            <c:dLbl>
              <c:idx val="25"/>
              <c:delete val="1"/>
              <c:extLst>
                <c:ext xmlns:c15="http://schemas.microsoft.com/office/drawing/2012/chart" uri="{CE6537A1-D6FC-4f65-9D91-7224C49458BB}"/>
                <c:ext xmlns:c16="http://schemas.microsoft.com/office/drawing/2014/chart" uri="{C3380CC4-5D6E-409C-BE32-E72D297353CC}">
                  <c16:uniqueId val="{00000002-066F-4854-BBCC-032D6642B984}"/>
                </c:ext>
              </c:extLst>
            </c:dLbl>
            <c:spPr>
              <a:noFill/>
              <a:ln>
                <a:noFill/>
              </a:ln>
              <a:effectLst/>
            </c:spPr>
            <c:txPr>
              <a:bodyPr wrap="square" lIns="38100" tIns="19050" rIns="38100" bIns="19050" anchor="ctr">
                <a:spAutoFit/>
              </a:bodyPr>
              <a:lstStyle/>
              <a:p>
                <a:pPr>
                  <a:defRPr sz="1200" b="1">
                    <a:solidFill>
                      <a:schemeClr val="tx2"/>
                    </a:solidFill>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Forecast!$H$73:$H$118</c:f>
              <c:numCache>
                <c:formatCode>#,##0</c:formatCode>
                <c:ptCount val="46"/>
                <c:pt idx="0">
                  <c:v>544136.85</c:v>
                </c:pt>
                <c:pt idx="1">
                  <c:v>544136.85</c:v>
                </c:pt>
                <c:pt idx="2">
                  <c:v>544136.85</c:v>
                </c:pt>
                <c:pt idx="3">
                  <c:v>544136.85</c:v>
                </c:pt>
                <c:pt idx="4">
                  <c:v>544136.85</c:v>
                </c:pt>
                <c:pt idx="5">
                  <c:v>544136.85</c:v>
                </c:pt>
                <c:pt idx="6">
                  <c:v>544136.85</c:v>
                </c:pt>
                <c:pt idx="7">
                  <c:v>544136.85</c:v>
                </c:pt>
                <c:pt idx="8">
                  <c:v>544136.85</c:v>
                </c:pt>
                <c:pt idx="9">
                  <c:v>544136.85</c:v>
                </c:pt>
                <c:pt idx="10">
                  <c:v>544136.85</c:v>
                </c:pt>
                <c:pt idx="11">
                  <c:v>544136.85</c:v>
                </c:pt>
                <c:pt idx="12">
                  <c:v>544136.85</c:v>
                </c:pt>
                <c:pt idx="13">
                  <c:v>544136.85</c:v>
                </c:pt>
                <c:pt idx="14">
                  <c:v>544136.85</c:v>
                </c:pt>
                <c:pt idx="15">
                  <c:v>544136.85</c:v>
                </c:pt>
                <c:pt idx="16">
                  <c:v>544136.85</c:v>
                </c:pt>
                <c:pt idx="17">
                  <c:v>544136.85</c:v>
                </c:pt>
                <c:pt idx="18">
                  <c:v>544136.85</c:v>
                </c:pt>
                <c:pt idx="19">
                  <c:v>544136.85</c:v>
                </c:pt>
                <c:pt idx="20">
                  <c:v>544136.85</c:v>
                </c:pt>
                <c:pt idx="21">
                  <c:v>544136.85</c:v>
                </c:pt>
                <c:pt idx="22">
                  <c:v>544136.85</c:v>
                </c:pt>
                <c:pt idx="23">
                  <c:v>544136.85</c:v>
                </c:pt>
                <c:pt idx="24">
                  <c:v>544136.85</c:v>
                </c:pt>
                <c:pt idx="25">
                  <c:v>544136.85</c:v>
                </c:pt>
                <c:pt idx="26">
                  <c:v>544136.85</c:v>
                </c:pt>
                <c:pt idx="27">
                  <c:v>544136.85</c:v>
                </c:pt>
                <c:pt idx="28">
                  <c:v>544136.85</c:v>
                </c:pt>
                <c:pt idx="29">
                  <c:v>544136.85</c:v>
                </c:pt>
                <c:pt idx="30">
                  <c:v>544136.85</c:v>
                </c:pt>
                <c:pt idx="31">
                  <c:v>544136.85</c:v>
                </c:pt>
                <c:pt idx="32">
                  <c:v>544136.85</c:v>
                </c:pt>
                <c:pt idx="33">
                  <c:v>544136.85</c:v>
                </c:pt>
                <c:pt idx="34">
                  <c:v>544136.85</c:v>
                </c:pt>
                <c:pt idx="35">
                  <c:v>544136.85</c:v>
                </c:pt>
                <c:pt idx="36">
                  <c:v>544136.85</c:v>
                </c:pt>
                <c:pt idx="37">
                  <c:v>544136.85</c:v>
                </c:pt>
                <c:pt idx="38">
                  <c:v>544136.85</c:v>
                </c:pt>
                <c:pt idx="39">
                  <c:v>544136.85</c:v>
                </c:pt>
                <c:pt idx="40">
                  <c:v>544136.85</c:v>
                </c:pt>
                <c:pt idx="41">
                  <c:v>544136.85</c:v>
                </c:pt>
                <c:pt idx="42">
                  <c:v>544136.85</c:v>
                </c:pt>
                <c:pt idx="43">
                  <c:v>544136.85</c:v>
                </c:pt>
                <c:pt idx="44">
                  <c:v>544136.85</c:v>
                </c:pt>
                <c:pt idx="45">
                  <c:v>544136.85</c:v>
                </c:pt>
              </c:numCache>
            </c:numRef>
          </c:val>
          <c:smooth val="0"/>
          <c:extLst>
            <c:ext xmlns:c16="http://schemas.microsoft.com/office/drawing/2014/chart" uri="{C3380CC4-5D6E-409C-BE32-E72D297353CC}">
              <c16:uniqueId val="{00000000-066F-4854-BBCC-032D6642B984}"/>
            </c:ext>
          </c:extLst>
        </c:ser>
        <c:ser>
          <c:idx val="6"/>
          <c:order val="5"/>
          <c:tx>
            <c:strRef>
              <c:f>Forecast!$I$72</c:f>
              <c:strCache>
                <c:ptCount val="1"/>
                <c:pt idx="0">
                  <c:v>2030 Target: 49% Below 2005</c:v>
                </c:pt>
              </c:strCache>
            </c:strRef>
          </c:tx>
          <c:spPr>
            <a:ln w="19050">
              <a:solidFill>
                <a:schemeClr val="tx2"/>
              </a:solidFill>
              <a:prstDash val="dash"/>
            </a:ln>
          </c:spPr>
          <c:marker>
            <c:symbol val="none"/>
          </c:marker>
          <c:dLbls>
            <c:dLbl>
              <c:idx val="5"/>
              <c:layout>
                <c:manualLayout>
                  <c:x val="-6.2699890867833286E-2"/>
                  <c:y val="3.2741111074424879E-2"/>
                </c:manualLayout>
              </c:layout>
              <c:tx>
                <c:rich>
                  <a:bodyPr/>
                  <a:lstStyle/>
                  <a:p>
                    <a:fld id="{85DB39B3-786D-4C97-B783-1B1D35804082}" type="SERIESNAME">
                      <a:rPr lang="en-US" sz="900" b="1">
                        <a:solidFill>
                          <a:schemeClr val="tx2"/>
                        </a:solidFill>
                      </a:rPr>
                      <a:pPr/>
                      <a:t>[SERIES NAME]</a:t>
                    </a:fld>
                    <a:r>
                      <a:rPr lang="en-US" sz="900" b="1" baseline="0"/>
                      <a:t>,</a:t>
                    </a:r>
                    <a:r>
                      <a:rPr lang="en-US" sz="900" b="1" baseline="0">
                        <a:solidFill>
                          <a:schemeClr val="tx1">
                            <a:lumMod val="50000"/>
                            <a:lumOff val="50000"/>
                          </a:schemeClr>
                        </a:solidFill>
                      </a:rPr>
                      <a:t> </a:t>
                    </a:r>
                    <a:fld id="{493F784B-0C4B-4666-9842-0F982EBF15BA}" type="VALUE">
                      <a:rPr lang="en-US" sz="900" b="1" baseline="0">
                        <a:solidFill>
                          <a:schemeClr val="tx2"/>
                        </a:solidFill>
                      </a:rPr>
                      <a:pPr/>
                      <a:t>[VALUE]</a:t>
                    </a:fld>
                    <a:endParaRPr lang="en-US" sz="900" b="1" baseline="0">
                      <a:solidFill>
                        <a:schemeClr val="tx1">
                          <a:lumMod val="50000"/>
                          <a:lumOff val="50000"/>
                        </a:schemeClr>
                      </a:solidFill>
                    </a:endParaRPr>
                  </a:p>
                </c:rich>
              </c:tx>
              <c:dLblPos val="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FED-4882-BEBE-85D487F66549}"/>
                </c:ext>
              </c:extLst>
            </c:dLbl>
            <c:spPr>
              <a:noFill/>
              <a:ln>
                <a:noFill/>
              </a:ln>
              <a:effectLst/>
            </c:spPr>
            <c:txPr>
              <a:bodyPr wrap="square" lIns="38100" tIns="19050" rIns="38100" bIns="19050" anchor="ctr">
                <a:spAutoFit/>
              </a:bodyPr>
              <a:lstStyle/>
              <a:p>
                <a:pPr>
                  <a:defRPr>
                    <a:solidFill>
                      <a:schemeClr val="tx2"/>
                    </a:solidFill>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Forecast!$I$73:$I$118</c:f>
              <c:numCache>
                <c:formatCode>#,##0</c:formatCode>
                <c:ptCount val="46"/>
                <c:pt idx="0">
                  <c:v>326482.11</c:v>
                </c:pt>
                <c:pt idx="1">
                  <c:v>326482.11</c:v>
                </c:pt>
                <c:pt idx="2">
                  <c:v>326482.11</c:v>
                </c:pt>
                <c:pt idx="3">
                  <c:v>326482.11</c:v>
                </c:pt>
                <c:pt idx="4">
                  <c:v>326482.11</c:v>
                </c:pt>
                <c:pt idx="5">
                  <c:v>326482.11</c:v>
                </c:pt>
                <c:pt idx="6">
                  <c:v>326482.11</c:v>
                </c:pt>
                <c:pt idx="7">
                  <c:v>326482.11</c:v>
                </c:pt>
                <c:pt idx="8">
                  <c:v>326482.11</c:v>
                </c:pt>
                <c:pt idx="9">
                  <c:v>326482.11</c:v>
                </c:pt>
                <c:pt idx="10">
                  <c:v>326482.11</c:v>
                </c:pt>
                <c:pt idx="11">
                  <c:v>326482.11</c:v>
                </c:pt>
                <c:pt idx="12">
                  <c:v>326482.11</c:v>
                </c:pt>
                <c:pt idx="13">
                  <c:v>326482.11</c:v>
                </c:pt>
                <c:pt idx="14">
                  <c:v>326482.11</c:v>
                </c:pt>
                <c:pt idx="15">
                  <c:v>326482.11</c:v>
                </c:pt>
                <c:pt idx="16">
                  <c:v>326482.11</c:v>
                </c:pt>
                <c:pt idx="17">
                  <c:v>326482.11</c:v>
                </c:pt>
                <c:pt idx="18">
                  <c:v>326482.11</c:v>
                </c:pt>
                <c:pt idx="19">
                  <c:v>326482.11</c:v>
                </c:pt>
                <c:pt idx="20">
                  <c:v>326482.11</c:v>
                </c:pt>
                <c:pt idx="21">
                  <c:v>326482.11</c:v>
                </c:pt>
                <c:pt idx="22">
                  <c:v>326482.11</c:v>
                </c:pt>
                <c:pt idx="23">
                  <c:v>326482.11</c:v>
                </c:pt>
                <c:pt idx="24">
                  <c:v>326482.11</c:v>
                </c:pt>
                <c:pt idx="25">
                  <c:v>326482.11</c:v>
                </c:pt>
                <c:pt idx="26">
                  <c:v>326482.11</c:v>
                </c:pt>
                <c:pt idx="27">
                  <c:v>326482.11</c:v>
                </c:pt>
                <c:pt idx="28">
                  <c:v>326482.11</c:v>
                </c:pt>
                <c:pt idx="29">
                  <c:v>326482.11</c:v>
                </c:pt>
                <c:pt idx="30">
                  <c:v>326482.11</c:v>
                </c:pt>
                <c:pt idx="31">
                  <c:v>326482.11</c:v>
                </c:pt>
                <c:pt idx="32">
                  <c:v>326482.11</c:v>
                </c:pt>
                <c:pt idx="33">
                  <c:v>326482.11</c:v>
                </c:pt>
                <c:pt idx="34">
                  <c:v>326482.11</c:v>
                </c:pt>
                <c:pt idx="35">
                  <c:v>326482.11</c:v>
                </c:pt>
                <c:pt idx="36">
                  <c:v>326482.11</c:v>
                </c:pt>
                <c:pt idx="37">
                  <c:v>326482.11</c:v>
                </c:pt>
                <c:pt idx="38">
                  <c:v>326482.11</c:v>
                </c:pt>
                <c:pt idx="39">
                  <c:v>326482.11</c:v>
                </c:pt>
                <c:pt idx="40">
                  <c:v>326482.11</c:v>
                </c:pt>
                <c:pt idx="41">
                  <c:v>326482.11</c:v>
                </c:pt>
                <c:pt idx="42">
                  <c:v>326482.11</c:v>
                </c:pt>
                <c:pt idx="43">
                  <c:v>326482.11</c:v>
                </c:pt>
                <c:pt idx="44">
                  <c:v>326482.11</c:v>
                </c:pt>
                <c:pt idx="45">
                  <c:v>326482.11</c:v>
                </c:pt>
              </c:numCache>
            </c:numRef>
          </c:val>
          <c:smooth val="0"/>
          <c:extLst>
            <c:ext xmlns:c16="http://schemas.microsoft.com/office/drawing/2014/chart" uri="{C3380CC4-5D6E-409C-BE32-E72D297353CC}">
              <c16:uniqueId val="{00000001-066F-4854-BBCC-032D6642B984}"/>
            </c:ext>
          </c:extLst>
        </c:ser>
        <c:ser>
          <c:idx val="2"/>
          <c:order val="6"/>
          <c:tx>
            <c:strRef>
              <c:f>Forecast!$G$72</c:f>
              <c:strCache>
                <c:ptCount val="1"/>
                <c:pt idx="0">
                  <c:v>Projected Reduction Path</c:v>
                </c:pt>
              </c:strCache>
            </c:strRef>
          </c:tx>
          <c:marker>
            <c:symbol val="none"/>
          </c:marker>
          <c:dLbls>
            <c:dLbl>
              <c:idx val="4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8585-4F02-B286-B4C7AD24069C}"/>
                </c:ext>
              </c:extLst>
            </c:dLbl>
            <c:spPr>
              <a:noFill/>
              <a:ln>
                <a:noFill/>
              </a:ln>
              <a:effectLst/>
            </c:spPr>
            <c:txPr>
              <a:bodyPr wrap="square" lIns="38100" tIns="19050" rIns="38100" bIns="19050" anchor="ctr">
                <a:spAutoFit/>
              </a:bodyPr>
              <a:lstStyle/>
              <a:p>
                <a:pPr>
                  <a:defRPr sz="1200" b="1">
                    <a:solidFill>
                      <a:schemeClr val="accent3">
                        <a:lumMod val="50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Forecast!$G$73:$G$118</c:f>
              <c:numCache>
                <c:formatCode>#,##0</c:formatCode>
                <c:ptCount val="46"/>
                <c:pt idx="12">
                  <c:v>591175.85452811304</c:v>
                </c:pt>
                <c:pt idx="13">
                  <c:v>566648.80800175469</c:v>
                </c:pt>
                <c:pt idx="14">
                  <c:v>543139.35379872681</c:v>
                </c:pt>
                <c:pt idx="15">
                  <c:v>520605.27345887409</c:v>
                </c:pt>
                <c:pt idx="16">
                  <c:v>499362.06057654478</c:v>
                </c:pt>
                <c:pt idx="17">
                  <c:v>478985.67351517902</c:v>
                </c:pt>
                <c:pt idx="18">
                  <c:v>459440.74158918182</c:v>
                </c:pt>
                <c:pt idx="19">
                  <c:v>440693.33740798838</c:v>
                </c:pt>
                <c:pt idx="20">
                  <c:v>422710.91798264685</c:v>
                </c:pt>
                <c:pt idx="21">
                  <c:v>405462.26823553746</c:v>
                </c:pt>
                <c:pt idx="22">
                  <c:v>388917.44681516808</c:v>
                </c:pt>
                <c:pt idx="23">
                  <c:v>373047.73412198835</c:v>
                </c:pt>
                <c:pt idx="24">
                  <c:v>357825.58245500183</c:v>
                </c:pt>
                <c:pt idx="25">
                  <c:v>343224.56819263758</c:v>
                </c:pt>
                <c:pt idx="26">
                  <c:v>313739.30436194758</c:v>
                </c:pt>
                <c:pt idx="27">
                  <c:v>286787.01999640308</c:v>
                </c:pt>
                <c:pt idx="28">
                  <c:v>262150.11538220505</c:v>
                </c:pt>
                <c:pt idx="29">
                  <c:v>239629.68406228899</c:v>
                </c:pt>
                <c:pt idx="30">
                  <c:v>219043.9069617526</c:v>
                </c:pt>
                <c:pt idx="31">
                  <c:v>200226.58446854615</c:v>
                </c:pt>
                <c:pt idx="32">
                  <c:v>183025.79461815435</c:v>
                </c:pt>
                <c:pt idx="33">
                  <c:v>167302.6665491022</c:v>
                </c:pt>
                <c:pt idx="34">
                  <c:v>152930.25932675682</c:v>
                </c:pt>
                <c:pt idx="35">
                  <c:v>184573.90853261916</c:v>
                </c:pt>
                <c:pt idx="36">
                  <c:v>168717.7872240436</c:v>
                </c:pt>
                <c:pt idx="37">
                  <c:v>154223.81176235969</c:v>
                </c:pt>
                <c:pt idx="38">
                  <c:v>140974.96479684868</c:v>
                </c:pt>
                <c:pt idx="39">
                  <c:v>128864.28154230861</c:v>
                </c:pt>
                <c:pt idx="40">
                  <c:v>89214.777508874016</c:v>
                </c:pt>
                <c:pt idx="41">
                  <c:v>52418.11209343942</c:v>
                </c:pt>
                <c:pt idx="42">
                  <c:v>30798.243880248156</c:v>
                </c:pt>
                <c:pt idx="43">
                  <c:v>18095.497686303737</c:v>
                </c:pt>
                <c:pt idx="44">
                  <c:v>10632.003493063628</c:v>
                </c:pt>
                <c:pt idx="45">
                  <c:v>-6246.830025685078</c:v>
                </c:pt>
              </c:numCache>
            </c:numRef>
          </c:val>
          <c:smooth val="0"/>
          <c:extLst>
            <c:ext xmlns:c16="http://schemas.microsoft.com/office/drawing/2014/chart" uri="{C3380CC4-5D6E-409C-BE32-E72D297353CC}">
              <c16:uniqueId val="{00000000-A965-427B-A7DF-483B5F69929C}"/>
            </c:ext>
          </c:extLst>
        </c:ser>
        <c:ser>
          <c:idx val="7"/>
          <c:order val="7"/>
          <c:tx>
            <c:strRef>
              <c:f>'Chart Areas'!$B$2</c:f>
              <c:strCache>
                <c:ptCount val="1"/>
                <c:pt idx="0">
                  <c:v>BAU Emissions Top Line</c:v>
                </c:pt>
              </c:strCache>
            </c:strRef>
          </c:tx>
          <c:spPr>
            <a:ln>
              <a:solidFill>
                <a:schemeClr val="tx2"/>
              </a:solidFill>
            </a:ln>
          </c:spPr>
          <c:marker>
            <c:symbol val="none"/>
          </c:marker>
          <c:dLbls>
            <c:dLbl>
              <c:idx val="4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FED-4882-BEBE-85D487F66549}"/>
                </c:ext>
              </c:extLst>
            </c:dLbl>
            <c:spPr>
              <a:noFill/>
              <a:ln>
                <a:noFill/>
              </a:ln>
              <a:effectLst/>
            </c:spPr>
            <c:txPr>
              <a:bodyPr wrap="square" lIns="38100" tIns="19050" rIns="38100" bIns="19050" anchor="ctr">
                <a:spAutoFit/>
              </a:bodyPr>
              <a:lstStyle/>
              <a:p>
                <a:pPr>
                  <a:defRPr sz="1200" b="1">
                    <a:solidFill>
                      <a:schemeClr val="accent2">
                        <a:lumMod val="50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'Chart Areas'!$B$3:$B$48</c:f>
              <c:numCache>
                <c:formatCode>#,##0</c:formatCode>
                <c:ptCount val="46"/>
                <c:pt idx="12">
                  <c:v>591175.85452811304</c:v>
                </c:pt>
                <c:pt idx="13">
                  <c:v>593859.39482943667</c:v>
                </c:pt>
                <c:pt idx="14">
                  <c:v>596555.11659672111</c:v>
                </c:pt>
                <c:pt idx="15">
                  <c:v>599263.07512561919</c:v>
                </c:pt>
                <c:pt idx="16">
                  <c:v>601325.71721995983</c:v>
                </c:pt>
                <c:pt idx="17">
                  <c:v>603395.4588546959</c:v>
                </c:pt>
                <c:pt idx="18">
                  <c:v>605472.32446619181</c:v>
                </c:pt>
                <c:pt idx="19">
                  <c:v>607556.33857492101</c:v>
                </c:pt>
                <c:pt idx="20">
                  <c:v>609647.5257857556</c:v>
                </c:pt>
                <c:pt idx="21">
                  <c:v>611745.91078825679</c:v>
                </c:pt>
                <c:pt idx="22">
                  <c:v>613851.51835696632</c:v>
                </c:pt>
                <c:pt idx="23">
                  <c:v>615964.37335169897</c:v>
                </c:pt>
                <c:pt idx="24">
                  <c:v>618084.5007178362</c:v>
                </c:pt>
                <c:pt idx="25">
                  <c:v>620211.92548662017</c:v>
                </c:pt>
                <c:pt idx="26">
                  <c:v>622502.06068543857</c:v>
                </c:pt>
                <c:pt idx="27">
                  <c:v>624800.65221831528</c:v>
                </c:pt>
                <c:pt idx="28">
                  <c:v>627107.73131030018</c:v>
                </c:pt>
                <c:pt idx="29">
                  <c:v>629423.32930174167</c:v>
                </c:pt>
                <c:pt idx="30">
                  <c:v>631747.47764871269</c:v>
                </c:pt>
                <c:pt idx="31">
                  <c:v>634080.20792343759</c:v>
                </c:pt>
                <c:pt idx="32">
                  <c:v>636421.55181472155</c:v>
                </c:pt>
                <c:pt idx="33">
                  <c:v>638771.54112838069</c:v>
                </c:pt>
                <c:pt idx="34">
                  <c:v>641130.20778767439</c:v>
                </c:pt>
                <c:pt idx="35">
                  <c:v>643497.58383373905</c:v>
                </c:pt>
                <c:pt idx="36">
                  <c:v>646089.59381669643</c:v>
                </c:pt>
                <c:pt idx="37">
                  <c:v>648692.04442277434</c:v>
                </c:pt>
                <c:pt idx="38">
                  <c:v>651304.97770683048</c:v>
                </c:pt>
                <c:pt idx="39">
                  <c:v>653928.43589311966</c:v>
                </c:pt>
                <c:pt idx="40">
                  <c:v>656562.4613759761</c:v>
                </c:pt>
                <c:pt idx="41">
                  <c:v>659282.193498004</c:v>
                </c:pt>
                <c:pt idx="42">
                  <c:v>662013.19178776268</c:v>
                </c:pt>
                <c:pt idx="43">
                  <c:v>664755.50291401567</c:v>
                </c:pt>
                <c:pt idx="44">
                  <c:v>667509.17373884632</c:v>
                </c:pt>
                <c:pt idx="45">
                  <c:v>670274.25131845882</c:v>
                </c:pt>
              </c:numCache>
            </c:numRef>
          </c:val>
          <c:smooth val="0"/>
          <c:extLst>
            <c:ext xmlns:c16="http://schemas.microsoft.com/office/drawing/2014/chart" uri="{C3380CC4-5D6E-409C-BE32-E72D297353CC}">
              <c16:uniqueId val="{00000000-1FED-4882-BEBE-85D487F66549}"/>
            </c:ext>
          </c:extLst>
        </c:ser>
        <c:ser>
          <c:idx val="8"/>
          <c:order val="8"/>
          <c:tx>
            <c:strRef>
              <c:f>'Chart Areas'!$C$2</c:f>
              <c:strCache>
                <c:ptCount val="1"/>
                <c:pt idx="0">
                  <c:v>BAU / State Measures Emissions Bottom Line</c:v>
                </c:pt>
              </c:strCache>
            </c:strRef>
          </c:tx>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'Chart Areas'!$C$3:$C$48</c:f>
              <c:numCache>
                <c:formatCode>#,##0</c:formatCode>
                <c:ptCount val="46"/>
                <c:pt idx="12">
                  <c:v>591175.85452811304</c:v>
                </c:pt>
                <c:pt idx="13">
                  <c:v>593721.95936610759</c:v>
                </c:pt>
                <c:pt idx="14">
                  <c:v>596279.02989188593</c:v>
                </c:pt>
                <c:pt idx="15">
                  <c:v>598847.11333300383</c:v>
                </c:pt>
                <c:pt idx="16">
                  <c:v>584115.39076010813</c:v>
                </c:pt>
                <c:pt idx="17">
                  <c:v>569746.07061870594</c:v>
                </c:pt>
                <c:pt idx="18">
                  <c:v>555730.2377583998</c:v>
                </c:pt>
                <c:pt idx="19">
                  <c:v>542059.19634273613</c:v>
                </c:pt>
                <c:pt idx="20">
                  <c:v>528724.46445405215</c:v>
                </c:pt>
                <c:pt idx="21">
                  <c:v>515717.76883104315</c:v>
                </c:pt>
                <c:pt idx="22">
                  <c:v>503031.03973578749</c:v>
                </c:pt>
                <c:pt idx="23">
                  <c:v>490656.40594704269</c:v>
                </c:pt>
                <c:pt idx="24">
                  <c:v>478586.18987670739</c:v>
                </c:pt>
                <c:pt idx="25">
                  <c:v>466812.90280641941</c:v>
                </c:pt>
                <c:pt idx="26">
                  <c:v>460456.80702745554</c:v>
                </c:pt>
                <c:pt idx="27">
                  <c:v>454187.25545776368</c:v>
                </c:pt>
                <c:pt idx="28">
                  <c:v>448003.06971671229</c:v>
                </c:pt>
                <c:pt idx="29">
                  <c:v>441903.0874684279</c:v>
                </c:pt>
                <c:pt idx="30">
                  <c:v>435886.16220333095</c:v>
                </c:pt>
                <c:pt idx="31">
                  <c:v>429951.16302264581</c:v>
                </c:pt>
                <c:pt idx="32">
                  <c:v>424096.97442584496</c:v>
                </c:pt>
                <c:pt idx="33">
                  <c:v>418322.49610098748</c:v>
                </c:pt>
                <c:pt idx="34">
                  <c:v>412626.64271791221</c:v>
                </c:pt>
                <c:pt idx="35">
                  <c:v>389271.17814401304</c:v>
                </c:pt>
                <c:pt idx="36">
                  <c:v>383970.8857197921</c:v>
                </c:pt>
                <c:pt idx="37">
                  <c:v>378742.76175128936</c:v>
                </c:pt>
                <c:pt idx="38">
                  <c:v>373585.82359724957</c:v>
                </c:pt>
                <c:pt idx="39">
                  <c:v>368499.10199600045</c:v>
                </c:pt>
                <c:pt idx="40">
                  <c:v>363481.640883277</c:v>
                </c:pt>
                <c:pt idx="41">
                  <c:v>356781.50760052062</c:v>
                </c:pt>
                <c:pt idx="42">
                  <c:v>350204.87927910872</c:v>
                </c:pt>
                <c:pt idx="43">
                  <c:v>343749.47932619852</c:v>
                </c:pt>
                <c:pt idx="44">
                  <c:v>337413.07311386045</c:v>
                </c:pt>
                <c:pt idx="45">
                  <c:v>331193.46720553003</c:v>
                </c:pt>
              </c:numCache>
            </c:numRef>
          </c:val>
          <c:smooth val="0"/>
          <c:extLst>
            <c:ext xmlns:c16="http://schemas.microsoft.com/office/drawing/2014/chart" uri="{C3380CC4-5D6E-409C-BE32-E72D297353CC}">
              <c16:uniqueId val="{00000001-1FED-4882-BEBE-85D487F66549}"/>
            </c:ext>
          </c:extLst>
        </c:ser>
        <c:ser>
          <c:idx val="9"/>
          <c:order val="9"/>
          <c:tx>
            <c:strRef>
              <c:f>'Chart Areas'!$F$2</c:f>
              <c:strCache>
                <c:ptCount val="1"/>
                <c:pt idx="0">
                  <c:v>BAU w/ State Measures Top Line</c:v>
                </c:pt>
              </c:strCache>
            </c:strRef>
          </c:tx>
          <c:spPr>
            <a:ln>
              <a:solidFill>
                <a:schemeClr val="accent4"/>
              </a:solidFill>
            </a:ln>
          </c:spPr>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'Chart Areas'!$F$3:$F$48</c:f>
              <c:numCache>
                <c:formatCode>#,##0</c:formatCode>
                <c:ptCount val="46"/>
                <c:pt idx="12">
                  <c:v>591175.85452811304</c:v>
                </c:pt>
                <c:pt idx="13">
                  <c:v>593721.95936610759</c:v>
                </c:pt>
                <c:pt idx="14">
                  <c:v>596279.02989188593</c:v>
                </c:pt>
                <c:pt idx="15">
                  <c:v>598847.11333300383</c:v>
                </c:pt>
                <c:pt idx="16">
                  <c:v>584115.39076010813</c:v>
                </c:pt>
                <c:pt idx="17">
                  <c:v>569746.07061870594</c:v>
                </c:pt>
                <c:pt idx="18">
                  <c:v>555730.2377583998</c:v>
                </c:pt>
                <c:pt idx="19">
                  <c:v>542059.19634273613</c:v>
                </c:pt>
                <c:pt idx="20">
                  <c:v>528724.46445405215</c:v>
                </c:pt>
                <c:pt idx="21">
                  <c:v>515717.76883104315</c:v>
                </c:pt>
                <c:pt idx="22">
                  <c:v>503031.03973578749</c:v>
                </c:pt>
                <c:pt idx="23">
                  <c:v>490656.40594704269</c:v>
                </c:pt>
                <c:pt idx="24">
                  <c:v>478586.18987670739</c:v>
                </c:pt>
                <c:pt idx="25">
                  <c:v>466812.90280641941</c:v>
                </c:pt>
                <c:pt idx="26">
                  <c:v>460456.80702745554</c:v>
                </c:pt>
                <c:pt idx="27">
                  <c:v>454187.25545776368</c:v>
                </c:pt>
                <c:pt idx="28">
                  <c:v>448003.06971671229</c:v>
                </c:pt>
                <c:pt idx="29">
                  <c:v>441903.0874684279</c:v>
                </c:pt>
                <c:pt idx="30">
                  <c:v>435886.16220333095</c:v>
                </c:pt>
                <c:pt idx="31">
                  <c:v>429951.16302264581</c:v>
                </c:pt>
                <c:pt idx="32">
                  <c:v>424096.97442584496</c:v>
                </c:pt>
                <c:pt idx="33">
                  <c:v>418322.49610098748</c:v>
                </c:pt>
                <c:pt idx="34">
                  <c:v>412626.64271791221</c:v>
                </c:pt>
                <c:pt idx="35">
                  <c:v>389271.17814401304</c:v>
                </c:pt>
                <c:pt idx="36">
                  <c:v>383970.8857197921</c:v>
                </c:pt>
                <c:pt idx="37">
                  <c:v>378742.76175128936</c:v>
                </c:pt>
                <c:pt idx="38">
                  <c:v>373585.82359724957</c:v>
                </c:pt>
                <c:pt idx="39">
                  <c:v>368499.10199600045</c:v>
                </c:pt>
                <c:pt idx="40">
                  <c:v>363481.640883277</c:v>
                </c:pt>
                <c:pt idx="41">
                  <c:v>356781.50760052062</c:v>
                </c:pt>
                <c:pt idx="42">
                  <c:v>350204.87927910872</c:v>
                </c:pt>
                <c:pt idx="43">
                  <c:v>343749.47932619852</c:v>
                </c:pt>
                <c:pt idx="44">
                  <c:v>337413.07311386045</c:v>
                </c:pt>
                <c:pt idx="45">
                  <c:v>331193.46720553003</c:v>
                </c:pt>
              </c:numCache>
            </c:numRef>
          </c:val>
          <c:smooth val="0"/>
          <c:extLst>
            <c:ext xmlns:c16="http://schemas.microsoft.com/office/drawing/2014/chart" uri="{C3380CC4-5D6E-409C-BE32-E72D297353CC}">
              <c16:uniqueId val="{00000002-1FED-4882-BEBE-85D487F66549}"/>
            </c:ext>
          </c:extLst>
        </c:ser>
        <c:ser>
          <c:idx val="10"/>
          <c:order val="10"/>
          <c:tx>
            <c:strRef>
              <c:f>'Chart Areas'!$G$2</c:f>
              <c:strCache>
                <c:ptCount val="1"/>
                <c:pt idx="0">
                  <c:v>BAU w/ State Measures + PCE</c:v>
                </c:pt>
              </c:strCache>
            </c:strRef>
          </c:tx>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'Chart Areas'!$G$3:$G$48</c:f>
              <c:numCache>
                <c:formatCode>#,##0</c:formatCode>
                <c:ptCount val="46"/>
                <c:pt idx="12">
                  <c:v>591175.85452811304</c:v>
                </c:pt>
                <c:pt idx="13">
                  <c:v>574769.26091707894</c:v>
                </c:pt>
                <c:pt idx="14">
                  <c:v>558817.99089860334</c:v>
                </c:pt>
                <c:pt idx="15">
                  <c:v>543309.40811569139</c:v>
                </c:pt>
                <c:pt idx="16">
                  <c:v>528455.02778170269</c:v>
                </c:pt>
                <c:pt idx="17">
                  <c:v>514006.77443872648</c:v>
                </c:pt>
                <c:pt idx="18">
                  <c:v>499953.54434974235</c:v>
                </c:pt>
                <c:pt idx="19">
                  <c:v>486284.53736005415</c:v>
                </c:pt>
                <c:pt idx="20">
                  <c:v>472989.2485971807</c:v>
                </c:pt>
                <c:pt idx="21">
                  <c:v>460057.46039767662</c:v>
                </c:pt>
                <c:pt idx="22">
                  <c:v>447479.23445467796</c:v>
                </c:pt>
                <c:pt idx="23">
                  <c:v>435244.90418013855</c:v>
                </c:pt>
                <c:pt idx="24">
                  <c:v>423345.06727588689</c:v>
                </c:pt>
                <c:pt idx="25">
                  <c:v>411770.57850779459</c:v>
                </c:pt>
                <c:pt idx="26">
                  <c:v>407371.9062483962</c:v>
                </c:pt>
                <c:pt idx="27">
                  <c:v>403020.22209027427</c:v>
                </c:pt>
                <c:pt idx="28">
                  <c:v>398715.02409067628</c:v>
                </c:pt>
                <c:pt idx="29">
                  <c:v>394455.81566877145</c:v>
                </c:pt>
                <c:pt idx="30">
                  <c:v>390242.10554837307</c:v>
                </c:pt>
                <c:pt idx="31">
                  <c:v>386073.4077012724</c:v>
                </c:pt>
                <c:pt idx="32">
                  <c:v>381949.24129117798</c:v>
                </c:pt>
                <c:pt idx="33">
                  <c:v>377869.1306182539</c:v>
                </c:pt>
                <c:pt idx="34">
                  <c:v>373832.60506425041</c:v>
                </c:pt>
                <c:pt idx="35">
                  <c:v>369839.1990382208</c:v>
                </c:pt>
                <c:pt idx="36">
                  <c:v>368558.85318805615</c:v>
                </c:pt>
                <c:pt idx="37">
                  <c:v>367282.9397655527</c:v>
                </c:pt>
                <c:pt idx="38">
                  <c:v>366011.44342609489</c:v>
                </c:pt>
                <c:pt idx="39">
                  <c:v>364744.34887818852</c:v>
                </c:pt>
                <c:pt idx="40">
                  <c:v>363481.640883277</c:v>
                </c:pt>
                <c:pt idx="41">
                  <c:v>356781.50760052062</c:v>
                </c:pt>
                <c:pt idx="42">
                  <c:v>350204.87927910872</c:v>
                </c:pt>
                <c:pt idx="43">
                  <c:v>343749.47932619852</c:v>
                </c:pt>
                <c:pt idx="44">
                  <c:v>337413.07311386045</c:v>
                </c:pt>
                <c:pt idx="45">
                  <c:v>331193.46720553003</c:v>
                </c:pt>
              </c:numCache>
            </c:numRef>
          </c:val>
          <c:smooth val="0"/>
          <c:extLst>
            <c:ext xmlns:c16="http://schemas.microsoft.com/office/drawing/2014/chart" uri="{C3380CC4-5D6E-409C-BE32-E72D297353CC}">
              <c16:uniqueId val="{00000003-1FED-4882-BEBE-85D487F66549}"/>
            </c:ext>
          </c:extLst>
        </c:ser>
        <c:ser>
          <c:idx val="11"/>
          <c:order val="11"/>
          <c:tx>
            <c:strRef>
              <c:f>'Chart Areas'!$H$2</c:f>
              <c:strCache>
                <c:ptCount val="1"/>
                <c:pt idx="0">
                  <c:v>State Measures+PCE Top Line</c:v>
                </c:pt>
              </c:strCache>
            </c:strRef>
          </c:tx>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'Chart Areas'!$H$3:$H$48</c:f>
              <c:numCache>
                <c:formatCode>#,##0</c:formatCode>
                <c:ptCount val="46"/>
                <c:pt idx="12">
                  <c:v>591175.85452811304</c:v>
                </c:pt>
                <c:pt idx="13">
                  <c:v>574769.26091707894</c:v>
                </c:pt>
                <c:pt idx="14">
                  <c:v>558817.99089860334</c:v>
                </c:pt>
                <c:pt idx="15">
                  <c:v>543309.40811569139</c:v>
                </c:pt>
                <c:pt idx="16">
                  <c:v>528455.02778170269</c:v>
                </c:pt>
                <c:pt idx="17">
                  <c:v>514006.77443872648</c:v>
                </c:pt>
                <c:pt idx="18">
                  <c:v>499953.54434974235</c:v>
                </c:pt>
                <c:pt idx="19">
                  <c:v>486284.53736005415</c:v>
                </c:pt>
                <c:pt idx="20">
                  <c:v>472989.2485971807</c:v>
                </c:pt>
                <c:pt idx="21">
                  <c:v>460057.46039767662</c:v>
                </c:pt>
                <c:pt idx="22">
                  <c:v>447479.23445467796</c:v>
                </c:pt>
                <c:pt idx="23">
                  <c:v>435244.90418013855</c:v>
                </c:pt>
                <c:pt idx="24">
                  <c:v>423345.06727588689</c:v>
                </c:pt>
                <c:pt idx="25">
                  <c:v>411770.57850779459</c:v>
                </c:pt>
                <c:pt idx="26">
                  <c:v>407371.9062483962</c:v>
                </c:pt>
                <c:pt idx="27">
                  <c:v>403020.22209027427</c:v>
                </c:pt>
                <c:pt idx="28">
                  <c:v>398715.02409067628</c:v>
                </c:pt>
                <c:pt idx="29">
                  <c:v>394455.81566877145</c:v>
                </c:pt>
                <c:pt idx="30">
                  <c:v>390242.10554837307</c:v>
                </c:pt>
                <c:pt idx="31">
                  <c:v>386073.4077012724</c:v>
                </c:pt>
                <c:pt idx="32">
                  <c:v>381949.24129117798</c:v>
                </c:pt>
                <c:pt idx="33">
                  <c:v>377869.1306182539</c:v>
                </c:pt>
                <c:pt idx="34">
                  <c:v>373832.60506425041</c:v>
                </c:pt>
                <c:pt idx="35">
                  <c:v>369839.1990382208</c:v>
                </c:pt>
                <c:pt idx="36">
                  <c:v>368558.85318805615</c:v>
                </c:pt>
                <c:pt idx="37">
                  <c:v>367282.9397655527</c:v>
                </c:pt>
                <c:pt idx="38">
                  <c:v>366011.44342609489</c:v>
                </c:pt>
                <c:pt idx="39">
                  <c:v>364744.34887818852</c:v>
                </c:pt>
                <c:pt idx="40">
                  <c:v>363481.640883277</c:v>
                </c:pt>
                <c:pt idx="41">
                  <c:v>356781.50760052062</c:v>
                </c:pt>
                <c:pt idx="42">
                  <c:v>350204.87927910872</c:v>
                </c:pt>
                <c:pt idx="43">
                  <c:v>343749.47932619852</c:v>
                </c:pt>
                <c:pt idx="44">
                  <c:v>337413.07311386045</c:v>
                </c:pt>
                <c:pt idx="45">
                  <c:v>331193.46720553003</c:v>
                </c:pt>
              </c:numCache>
            </c:numRef>
          </c:val>
          <c:smooth val="0"/>
          <c:extLst>
            <c:ext xmlns:c16="http://schemas.microsoft.com/office/drawing/2014/chart" uri="{C3380CC4-5D6E-409C-BE32-E72D297353CC}">
              <c16:uniqueId val="{00000004-1FED-4882-BEBE-85D487F66549}"/>
            </c:ext>
          </c:extLst>
        </c:ser>
        <c:ser>
          <c:idx val="12"/>
          <c:order val="12"/>
          <c:tx>
            <c:strRef>
              <c:f>'Chart Areas'!$I$2</c:f>
              <c:strCache>
                <c:ptCount val="1"/>
                <c:pt idx="0">
                  <c:v>Projected Reduction Path Bottom Line</c:v>
                </c:pt>
              </c:strCache>
            </c:strRef>
          </c:tx>
          <c:marker>
            <c:symbol val="none"/>
          </c:marker>
          <c:cat>
            <c:numRef>
              <c:f>Forecast!$B$73:$B$118</c:f>
              <c:numCache>
                <c:formatCode>General</c:formatCode>
                <c:ptCount val="4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numCache>
            </c:numRef>
          </c:cat>
          <c:val>
            <c:numRef>
              <c:f>'Chart Areas'!$I$3:$I$48</c:f>
              <c:numCache>
                <c:formatCode>#,##0</c:formatCode>
                <c:ptCount val="46"/>
                <c:pt idx="12">
                  <c:v>591175.85452811304</c:v>
                </c:pt>
                <c:pt idx="13">
                  <c:v>566648.80800175469</c:v>
                </c:pt>
                <c:pt idx="14">
                  <c:v>543139.35379872681</c:v>
                </c:pt>
                <c:pt idx="15">
                  <c:v>520605.27345887409</c:v>
                </c:pt>
                <c:pt idx="16">
                  <c:v>499362.06057654478</c:v>
                </c:pt>
                <c:pt idx="17">
                  <c:v>478985.67351517902</c:v>
                </c:pt>
                <c:pt idx="18">
                  <c:v>459440.74158918182</c:v>
                </c:pt>
                <c:pt idx="19">
                  <c:v>440693.33740798838</c:v>
                </c:pt>
                <c:pt idx="20">
                  <c:v>422710.91798264685</c:v>
                </c:pt>
                <c:pt idx="21">
                  <c:v>405462.26823553746</c:v>
                </c:pt>
                <c:pt idx="22">
                  <c:v>388917.44681516808</c:v>
                </c:pt>
                <c:pt idx="23">
                  <c:v>373047.73412198835</c:v>
                </c:pt>
                <c:pt idx="24">
                  <c:v>357825.58245500183</c:v>
                </c:pt>
                <c:pt idx="25">
                  <c:v>343224.56819263758</c:v>
                </c:pt>
                <c:pt idx="26">
                  <c:v>313739.30436194758</c:v>
                </c:pt>
                <c:pt idx="27">
                  <c:v>286787.01999640308</c:v>
                </c:pt>
                <c:pt idx="28">
                  <c:v>262150.11538220505</c:v>
                </c:pt>
                <c:pt idx="29">
                  <c:v>239629.68406228899</c:v>
                </c:pt>
                <c:pt idx="30">
                  <c:v>219043.9069617526</c:v>
                </c:pt>
                <c:pt idx="31">
                  <c:v>200226.58446854615</c:v>
                </c:pt>
                <c:pt idx="32">
                  <c:v>183025.79461815435</c:v>
                </c:pt>
                <c:pt idx="33">
                  <c:v>167302.6665491022</c:v>
                </c:pt>
                <c:pt idx="34">
                  <c:v>152930.25932675682</c:v>
                </c:pt>
                <c:pt idx="35">
                  <c:v>184573.90853261916</c:v>
                </c:pt>
                <c:pt idx="36">
                  <c:v>168717.7872240436</c:v>
                </c:pt>
                <c:pt idx="37">
                  <c:v>154223.81176235969</c:v>
                </c:pt>
                <c:pt idx="38">
                  <c:v>140974.96479684868</c:v>
                </c:pt>
                <c:pt idx="39">
                  <c:v>128864.28154230861</c:v>
                </c:pt>
                <c:pt idx="40">
                  <c:v>89214.777508874016</c:v>
                </c:pt>
                <c:pt idx="41">
                  <c:v>52418.11209343942</c:v>
                </c:pt>
                <c:pt idx="42">
                  <c:v>30798.243880248156</c:v>
                </c:pt>
                <c:pt idx="43">
                  <c:v>18095.497686303737</c:v>
                </c:pt>
                <c:pt idx="44">
                  <c:v>10632.003493063628</c:v>
                </c:pt>
                <c:pt idx="45">
                  <c:v>-6246.830025685078</c:v>
                </c:pt>
              </c:numCache>
            </c:numRef>
          </c:val>
          <c:smooth val="0"/>
          <c:extLst>
            <c:ext xmlns:c16="http://schemas.microsoft.com/office/drawing/2014/chart" uri="{C3380CC4-5D6E-409C-BE32-E72D297353CC}">
              <c16:uniqueId val="{00000005-1FED-4882-BEBE-85D487F66549}"/>
            </c:ext>
          </c:extLst>
        </c:ser>
        <c:dLbls>
          <c:showLegendKey val="0"/>
          <c:showVal val="0"/>
          <c:showCatName val="0"/>
          <c:showSerName val="0"/>
          <c:showPercent val="0"/>
          <c:showBubbleSize val="0"/>
        </c:dLbls>
        <c:marker val="1"/>
        <c:smooth val="0"/>
        <c:axId val="124639872"/>
        <c:axId val="124928384"/>
      </c:lineChart>
      <c:catAx>
        <c:axId val="124639872"/>
        <c:scaling>
          <c:orientation val="minMax"/>
        </c:scaling>
        <c:delete val="0"/>
        <c:axPos val="b"/>
        <c:numFmt formatCode="General" sourceLinked="1"/>
        <c:majorTickMark val="out"/>
        <c:minorTickMark val="none"/>
        <c:tickLblPos val="nextTo"/>
        <c:crossAx val="124928384"/>
        <c:crosses val="autoZero"/>
        <c:auto val="1"/>
        <c:lblAlgn val="ctr"/>
        <c:lblOffset val="100"/>
        <c:tickLblSkip val="5"/>
        <c:noMultiLvlLbl val="0"/>
      </c:catAx>
      <c:valAx>
        <c:axId val="124928384"/>
        <c:scaling>
          <c:orientation val="minMax"/>
        </c:scaling>
        <c:delete val="0"/>
        <c:axPos val="l"/>
        <c:title>
          <c:tx>
            <c:rich>
              <a:bodyPr rot="-5400000" vert="horz"/>
              <a:lstStyle/>
              <a:p>
                <a:pPr>
                  <a:defRPr/>
                </a:pPr>
                <a:r>
                  <a:rPr lang="en-US"/>
                  <a:t>MT CO2e</a:t>
                </a:r>
              </a:p>
            </c:rich>
          </c:tx>
          <c:overlay val="0"/>
        </c:title>
        <c:numFmt formatCode="#,##0" sourceLinked="1"/>
        <c:majorTickMark val="out"/>
        <c:minorTickMark val="none"/>
        <c:tickLblPos val="nextTo"/>
        <c:crossAx val="124639872"/>
        <c:crosses val="autoZero"/>
        <c:crossBetween val="between"/>
      </c:valAx>
      <c:valAx>
        <c:axId val="675884736"/>
        <c:scaling>
          <c:orientation val="minMax"/>
        </c:scaling>
        <c:delete val="1"/>
        <c:axPos val="r"/>
        <c:numFmt formatCode="#,##0" sourceLinked="1"/>
        <c:majorTickMark val="out"/>
        <c:minorTickMark val="none"/>
        <c:tickLblPos val="nextTo"/>
        <c:crossAx val="675885064"/>
        <c:crosses val="max"/>
        <c:crossBetween val="between"/>
      </c:valAx>
      <c:dateAx>
        <c:axId val="675885064"/>
        <c:scaling>
          <c:orientation val="minMax"/>
        </c:scaling>
        <c:delete val="1"/>
        <c:axPos val="b"/>
        <c:numFmt formatCode="General" sourceLinked="1"/>
        <c:majorTickMark val="out"/>
        <c:minorTickMark val="none"/>
        <c:tickLblPos val="nextTo"/>
        <c:crossAx val="675884736"/>
        <c:crosses val="autoZero"/>
        <c:auto val="0"/>
        <c:lblOffset val="100"/>
        <c:baseTimeUnit val="days"/>
      </c:date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10"/>
        <c:delete val="1"/>
      </c:legendEntry>
      <c:legendEntry>
        <c:idx val="11"/>
        <c:delete val="1"/>
      </c:legendEntry>
      <c:legendEntry>
        <c:idx val="13"/>
        <c:delete val="1"/>
      </c:legendEntry>
      <c:legendEntry>
        <c:idx val="14"/>
        <c:delete val="1"/>
      </c:legendEntry>
      <c:legendEntry>
        <c:idx val="15"/>
        <c:delete val="1"/>
      </c:legendEntry>
      <c:legendEntry>
        <c:idx val="17"/>
        <c:delete val="1"/>
      </c:legendEntry>
      <c:legendEntry>
        <c:idx val="18"/>
        <c:delete val="1"/>
      </c:legendEntry>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793-4119-8D92-1339099482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793-4119-8D92-1339099482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793-4119-8D92-1339099482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793-4119-8D92-1339099482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793-4119-8D92-1339099482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793-4119-8D92-1339099482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793-4119-8D92-1339099482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793-4119-8D92-13390994820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Graphs!$B$31:$B$38</c:f>
              <c:strCache>
                <c:ptCount val="8"/>
                <c:pt idx="0">
                  <c:v>Residential</c:v>
                </c:pt>
                <c:pt idx="1">
                  <c:v>Commercial/ Industrial</c:v>
                </c:pt>
                <c:pt idx="2">
                  <c:v>On-Road Transportation</c:v>
                </c:pt>
                <c:pt idx="3">
                  <c:v>Off-Road Transportation</c:v>
                </c:pt>
                <c:pt idx="4">
                  <c:v>Trains</c:v>
                </c:pt>
                <c:pt idx="5">
                  <c:v>Solid Waste - Disposed</c:v>
                </c:pt>
                <c:pt idx="6">
                  <c:v>Solid Waste - Landfills</c:v>
                </c:pt>
                <c:pt idx="7">
                  <c:v>Water &amp; Wastewater</c:v>
                </c:pt>
              </c:strCache>
            </c:strRef>
          </c:cat>
          <c:val>
            <c:numRef>
              <c:f>Graphs!$C$31:$C$38</c:f>
              <c:numCache>
                <c:formatCode>General</c:formatCode>
                <c:ptCount val="8"/>
                <c:pt idx="0">
                  <c:v>5711</c:v>
                </c:pt>
                <c:pt idx="1">
                  <c:v>26037</c:v>
                </c:pt>
                <c:pt idx="2">
                  <c:v>30790.755820012899</c:v>
                </c:pt>
                <c:pt idx="3">
                  <c:v>6287</c:v>
                </c:pt>
                <c:pt idx="4">
                  <c:v>2581</c:v>
                </c:pt>
                <c:pt idx="5">
                  <c:v>1483</c:v>
                </c:pt>
                <c:pt idx="6">
                  <c:v>4212</c:v>
                </c:pt>
                <c:pt idx="7">
                  <c:v>154</c:v>
                </c:pt>
              </c:numCache>
            </c:numRef>
          </c:val>
          <c:extLst>
            <c:ext xmlns:c16="http://schemas.microsoft.com/office/drawing/2014/chart" uri="{C3380CC4-5D6E-409C-BE32-E72D297353CC}">
              <c16:uniqueId val="{00000000-4B0E-4D4A-8DAD-AD482FE731F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5BC-4835-8CD5-CEFAF192DF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5BC-4835-8CD5-CEFAF192DF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5BC-4835-8CD5-CEFAF192DF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5BC-4835-8CD5-CEFAF192DF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5BC-4835-8CD5-CEFAF192DF9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5BC-4835-8CD5-CEFAF192DF9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5BC-4835-8CD5-CEFAF192DF9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5BC-4835-8CD5-CEFAF192DF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Graphs!$B$81:$B$88</c:f>
              <c:strCache>
                <c:ptCount val="8"/>
                <c:pt idx="0">
                  <c:v>Residential</c:v>
                </c:pt>
                <c:pt idx="1">
                  <c:v>Commercial/ Industrial</c:v>
                </c:pt>
                <c:pt idx="2">
                  <c:v>On-Road Transportation</c:v>
                </c:pt>
                <c:pt idx="3">
                  <c:v>Off-Road Transportation</c:v>
                </c:pt>
                <c:pt idx="4">
                  <c:v>Trains</c:v>
                </c:pt>
                <c:pt idx="5">
                  <c:v>Solid Waste - Disposed</c:v>
                </c:pt>
                <c:pt idx="6">
                  <c:v>Solid Waste - Landfills</c:v>
                </c:pt>
                <c:pt idx="7">
                  <c:v>Water &amp; Wastewater</c:v>
                </c:pt>
              </c:strCache>
            </c:strRef>
          </c:cat>
          <c:val>
            <c:numRef>
              <c:f>Graphs!$C$81:$C$88</c:f>
              <c:numCache>
                <c:formatCode>General</c:formatCode>
                <c:ptCount val="8"/>
                <c:pt idx="0">
                  <c:v>4872.6635983989108</c:v>
                </c:pt>
                <c:pt idx="1">
                  <c:v>18867.528976323385</c:v>
                </c:pt>
                <c:pt idx="2">
                  <c:v>24871.075245533259</c:v>
                </c:pt>
                <c:pt idx="3">
                  <c:v>5548.4017814377476</c:v>
                </c:pt>
                <c:pt idx="4">
                  <c:v>2639.3823865379195</c:v>
                </c:pt>
                <c:pt idx="5">
                  <c:v>871.25268667499995</c:v>
                </c:pt>
                <c:pt idx="6">
                  <c:v>4681.1099999999997</c:v>
                </c:pt>
                <c:pt idx="7">
                  <c:v>181.30194202396689</c:v>
                </c:pt>
              </c:numCache>
            </c:numRef>
          </c:val>
          <c:extLst>
            <c:ext xmlns:c16="http://schemas.microsoft.com/office/drawing/2014/chart" uri="{C3380CC4-5D6E-409C-BE32-E72D297353CC}">
              <c16:uniqueId val="{00000000-684C-436B-8D8E-475D228EA37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Graphs!$E$80</c:f>
              <c:strCache>
                <c:ptCount val="1"/>
                <c:pt idx="0">
                  <c:v>2005 - 77,225 MT CO2e</c:v>
                </c:pt>
              </c:strCache>
            </c:strRef>
          </c:tx>
          <c:spPr>
            <a:solidFill>
              <a:schemeClr val="accent1"/>
            </a:solidFill>
            <a:ln>
              <a:noFill/>
            </a:ln>
            <a:effectLst/>
          </c:spPr>
          <c:invertIfNegative val="0"/>
          <c:cat>
            <c:strRef>
              <c:f>Graphs!$D$92:$D$99</c:f>
              <c:strCache>
                <c:ptCount val="8"/>
                <c:pt idx="0">
                  <c:v>On-Road Transportation</c:v>
                </c:pt>
                <c:pt idx="1">
                  <c:v>Commercial/ Industrial</c:v>
                </c:pt>
                <c:pt idx="2">
                  <c:v>Off-Road Transportation</c:v>
                </c:pt>
                <c:pt idx="3">
                  <c:v>Residential</c:v>
                </c:pt>
                <c:pt idx="4">
                  <c:v>Solid Waste - Landfills</c:v>
                </c:pt>
                <c:pt idx="5">
                  <c:v>Trains</c:v>
                </c:pt>
                <c:pt idx="6">
                  <c:v>Solid Waste - Disposed</c:v>
                </c:pt>
                <c:pt idx="7">
                  <c:v>Water &amp; Wastewater</c:v>
                </c:pt>
              </c:strCache>
            </c:strRef>
          </c:cat>
          <c:val>
            <c:numRef>
              <c:f>Graphs!$E$92:$E$99</c:f>
              <c:numCache>
                <c:formatCode>General</c:formatCode>
                <c:ptCount val="8"/>
                <c:pt idx="0">
                  <c:v>30790.755820012899</c:v>
                </c:pt>
                <c:pt idx="1">
                  <c:v>26037</c:v>
                </c:pt>
                <c:pt idx="2">
                  <c:v>6287</c:v>
                </c:pt>
                <c:pt idx="3">
                  <c:v>5711</c:v>
                </c:pt>
                <c:pt idx="4">
                  <c:v>4212</c:v>
                </c:pt>
                <c:pt idx="5">
                  <c:v>2581</c:v>
                </c:pt>
                <c:pt idx="6">
                  <c:v>1483</c:v>
                </c:pt>
                <c:pt idx="7">
                  <c:v>154</c:v>
                </c:pt>
              </c:numCache>
            </c:numRef>
          </c:val>
          <c:extLst>
            <c:ext xmlns:c16="http://schemas.microsoft.com/office/drawing/2014/chart" uri="{C3380CC4-5D6E-409C-BE32-E72D297353CC}">
              <c16:uniqueId val="{00000000-5D8B-46EC-B39E-14639BA254FB}"/>
            </c:ext>
          </c:extLst>
        </c:ser>
        <c:ser>
          <c:idx val="1"/>
          <c:order val="1"/>
          <c:tx>
            <c:strRef>
              <c:f>Graphs!$F$80</c:f>
              <c:strCache>
                <c:ptCount val="1"/>
                <c:pt idx="0">
                  <c:v>2015 - 62,533 MT CO2e</c:v>
                </c:pt>
              </c:strCache>
            </c:strRef>
          </c:tx>
          <c:spPr>
            <a:solidFill>
              <a:schemeClr val="accent2"/>
            </a:solidFill>
            <a:ln>
              <a:noFill/>
            </a:ln>
            <a:effectLst/>
          </c:spPr>
          <c:invertIfNegative val="0"/>
          <c:cat>
            <c:strRef>
              <c:f>Graphs!$D$92:$D$99</c:f>
              <c:strCache>
                <c:ptCount val="8"/>
                <c:pt idx="0">
                  <c:v>On-Road Transportation</c:v>
                </c:pt>
                <c:pt idx="1">
                  <c:v>Commercial/ Industrial</c:v>
                </c:pt>
                <c:pt idx="2">
                  <c:v>Off-Road Transportation</c:v>
                </c:pt>
                <c:pt idx="3">
                  <c:v>Residential</c:v>
                </c:pt>
                <c:pt idx="4">
                  <c:v>Solid Waste - Landfills</c:v>
                </c:pt>
                <c:pt idx="5">
                  <c:v>Trains</c:v>
                </c:pt>
                <c:pt idx="6">
                  <c:v>Solid Waste - Disposed</c:v>
                </c:pt>
                <c:pt idx="7">
                  <c:v>Water &amp; Wastewater</c:v>
                </c:pt>
              </c:strCache>
            </c:strRef>
          </c:cat>
          <c:val>
            <c:numRef>
              <c:f>Graphs!$F$92:$F$99</c:f>
              <c:numCache>
                <c:formatCode>General</c:formatCode>
                <c:ptCount val="8"/>
                <c:pt idx="0">
                  <c:v>24871.075245533259</c:v>
                </c:pt>
                <c:pt idx="1">
                  <c:v>18867.528976323385</c:v>
                </c:pt>
                <c:pt idx="2">
                  <c:v>5548.4017814377476</c:v>
                </c:pt>
                <c:pt idx="3">
                  <c:v>4872.6635983989108</c:v>
                </c:pt>
                <c:pt idx="4">
                  <c:v>4681.1099999999997</c:v>
                </c:pt>
                <c:pt idx="5">
                  <c:v>2639.3823865379195</c:v>
                </c:pt>
                <c:pt idx="6">
                  <c:v>871.25268667499995</c:v>
                </c:pt>
                <c:pt idx="7">
                  <c:v>181.30194202396689</c:v>
                </c:pt>
              </c:numCache>
            </c:numRef>
          </c:val>
          <c:extLst>
            <c:ext xmlns:c16="http://schemas.microsoft.com/office/drawing/2014/chart" uri="{C3380CC4-5D6E-409C-BE32-E72D297353CC}">
              <c16:uniqueId val="{00000001-5D8B-46EC-B39E-14639BA254FB}"/>
            </c:ext>
          </c:extLst>
        </c:ser>
        <c:dLbls>
          <c:showLegendKey val="0"/>
          <c:showVal val="0"/>
          <c:showCatName val="0"/>
          <c:showSerName val="0"/>
          <c:showPercent val="0"/>
          <c:showBubbleSize val="0"/>
        </c:dLbls>
        <c:gapWidth val="219"/>
        <c:overlap val="-27"/>
        <c:axId val="431861016"/>
        <c:axId val="431868560"/>
      </c:barChart>
      <c:catAx>
        <c:axId val="43186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868560"/>
        <c:crosses val="autoZero"/>
        <c:auto val="1"/>
        <c:lblAlgn val="ctr"/>
        <c:lblOffset val="100"/>
        <c:noMultiLvlLbl val="0"/>
      </c:catAx>
      <c:valAx>
        <c:axId val="431868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Emissions (MT CO2e)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861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133350</xdr:colOff>
      <xdr:row>4</xdr:row>
      <xdr:rowOff>47626</xdr:rowOff>
    </xdr:from>
    <xdr:to>
      <xdr:col>11</xdr:col>
      <xdr:colOff>257175</xdr:colOff>
      <xdr:row>14</xdr:row>
      <xdr:rowOff>1</xdr:rowOff>
    </xdr:to>
    <xdr:sp macro="" textlink="">
      <xdr:nvSpPr>
        <xdr:cNvPr id="2" name="Rectangle 1">
          <a:extLst>
            <a:ext uri="{FF2B5EF4-FFF2-40B4-BE49-F238E27FC236}">
              <a16:creationId xmlns:a16="http://schemas.microsoft.com/office/drawing/2014/main" id="{00000000-0008-0000-0000-000002000000}"/>
            </a:ext>
          </a:extLst>
        </xdr:cNvPr>
        <xdr:cNvSpPr>
          <a:spLocks/>
        </xdr:cNvSpPr>
      </xdr:nvSpPr>
      <xdr:spPr bwMode="auto">
        <a:xfrm>
          <a:off x="133350" y="1041539"/>
          <a:ext cx="8688042" cy="2437158"/>
        </a:xfrm>
        <a:prstGeom prst="rect">
          <a:avLst/>
        </a:prstGeom>
        <a:solidFill>
          <a:srgbClr val="FFFFFF"/>
        </a:solidFill>
        <a:ln w="9525" cap="flat">
          <a:solidFill>
            <a:srgbClr val="BABABA"/>
          </a:solidFill>
          <a:prstDash val="solid"/>
          <a:round/>
          <a:headEnd/>
          <a:tailEnd/>
        </a:ln>
      </xdr:spPr>
      <xdr:txBody>
        <a:bodyPr vertOverflow="clip" wrap="square" lIns="38100" tIns="38100" rIns="38100" bIns="38100" anchor="t" upright="1"/>
        <a:lstStyle/>
        <a:p>
          <a:pPr algn="l" rtl="0">
            <a:defRPr sz="1000"/>
          </a:pPr>
          <a:r>
            <a:rPr lang="en-US" sz="1600" b="1" i="0" u="none" strike="noStrike" baseline="0">
              <a:solidFill>
                <a:srgbClr val="000000"/>
              </a:solidFill>
              <a:latin typeface="+mn-lt"/>
            </a:rPr>
            <a:t>Introduction to the Climate Action Plan (CAP) Forecast and Reduction Target Tool Version 9.0</a:t>
          </a:r>
          <a:endParaRPr lang="en-US" sz="1800" b="1" i="0" u="none" strike="noStrike" baseline="0">
            <a:solidFill>
              <a:srgbClr val="000000"/>
            </a:solidFill>
            <a:latin typeface="+mn-lt"/>
          </a:endParaRPr>
        </a:p>
        <a:p>
          <a:pPr algn="l" rtl="0">
            <a:defRPr sz="1000"/>
          </a:pPr>
          <a:endParaRPr lang="en-US" sz="1100" b="0" i="0" u="none" strike="noStrike" baseline="0">
            <a:solidFill>
              <a:srgbClr val="000000"/>
            </a:solidFill>
            <a:latin typeface="+mn-lt"/>
          </a:endParaRPr>
        </a:p>
        <a:p>
          <a:pPr algn="l" rtl="0">
            <a:defRPr sz="1000"/>
          </a:pPr>
          <a:r>
            <a:rPr lang="en-US" sz="1100" b="0" i="0" u="none" strike="noStrike" baseline="0">
              <a:solidFill>
                <a:srgbClr val="000000"/>
              </a:solidFill>
              <a:latin typeface="+mn-lt"/>
            </a:rPr>
            <a:t>This workbook provides assistance to estimate the business-as-usual greenhouse gas emissions through 2020, 2030, 2040, 2045, and 2050. It assists jurisdictions in calculating the metric tons of greenhouse gases reduced by California statewide measures and the city-specific measures selected in the RICAPS Menu of Measures Tool, and analyzes whether the reduction targets will be met by the climate action plan.</a:t>
          </a:r>
        </a:p>
        <a:p>
          <a:pPr algn="l" rtl="0">
            <a:defRPr sz="1000"/>
          </a:pPr>
          <a:endParaRPr lang="en-US" sz="1100" b="0" i="0" u="none" strike="noStrike" baseline="0">
            <a:solidFill>
              <a:srgbClr val="000000"/>
            </a:solidFill>
            <a:latin typeface="+mn-lt"/>
          </a:endParaRPr>
        </a:p>
        <a:p>
          <a:pPr algn="l" rtl="0">
            <a:defRPr sz="1000"/>
          </a:pPr>
          <a:r>
            <a:rPr lang="en-US" sz="1100" b="1" i="0" u="none" strike="noStrike" baseline="0">
              <a:solidFill>
                <a:srgbClr val="000000"/>
              </a:solidFill>
              <a:latin typeface="+mn-lt"/>
            </a:rPr>
            <a:t>Instructions:</a:t>
          </a:r>
        </a:p>
        <a:p>
          <a:pPr algn="l" rtl="0">
            <a:defRPr sz="1000"/>
          </a:pPr>
          <a:r>
            <a:rPr lang="en-US" sz="1100" b="0" i="0" u="none" strike="noStrike" baseline="0">
              <a:solidFill>
                <a:srgbClr val="000000"/>
              </a:solidFill>
              <a:latin typeface="+mn-lt"/>
            </a:rPr>
            <a:t>(1) </a:t>
          </a:r>
          <a:r>
            <a:rPr lang="en-US" sz="1100" b="0" i="0" baseline="0">
              <a:latin typeface="+mn-lt"/>
              <a:ea typeface="+mn-ea"/>
              <a:cs typeface="+mn-cs"/>
            </a:rPr>
            <a:t>"2005-2015 GHG Inventories" worksheet -- </a:t>
          </a:r>
          <a:r>
            <a:rPr lang="en-US" sz="1100" b="0" i="0" u="none" strike="noStrike" baseline="0">
              <a:solidFill>
                <a:srgbClr val="000000"/>
              </a:solidFill>
              <a:latin typeface="+mn-lt"/>
            </a:rPr>
            <a:t>Enter your 2005 &amp; 2010-2017 community GHG inventory data. </a:t>
          </a:r>
        </a:p>
        <a:p>
          <a:pPr algn="l" rtl="0">
            <a:defRPr sz="1000"/>
          </a:pPr>
          <a:r>
            <a:rPr lang="en-US" sz="1100" b="0" i="0" u="none" strike="noStrike" baseline="0">
              <a:solidFill>
                <a:srgbClr val="000000"/>
              </a:solidFill>
              <a:latin typeface="+mn-lt"/>
            </a:rPr>
            <a:t>(2) </a:t>
          </a:r>
          <a:r>
            <a:rPr lang="en-US" sz="1100" b="0" i="0" baseline="0">
              <a:latin typeface="+mn-lt"/>
              <a:ea typeface="+mn-ea"/>
              <a:cs typeface="+mn-cs"/>
            </a:rPr>
            <a:t>"Emissions Forecast 2020 2030" -- </a:t>
          </a:r>
          <a:r>
            <a:rPr lang="en-US" sz="1100" b="0" i="0" u="none" strike="noStrike" baseline="0">
              <a:solidFill>
                <a:srgbClr val="000000"/>
              </a:solidFill>
              <a:latin typeface="+mn-lt"/>
            </a:rPr>
            <a:t>Enter growth projections for your jurisdiction. </a:t>
          </a:r>
        </a:p>
        <a:p>
          <a:pPr algn="l" rtl="0">
            <a:defRPr sz="1000"/>
          </a:pPr>
          <a:r>
            <a:rPr lang="en-US" sz="1100" b="0" i="0" u="none" strike="noStrike" baseline="0">
              <a:solidFill>
                <a:srgbClr val="000000"/>
              </a:solidFill>
              <a:latin typeface="+mn-lt"/>
            </a:rPr>
            <a:t>(3) "Reaching the Target" -- Enter the estimated GHG reductions from the measures selected in the RICAPS Menu of Measures.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latin typeface="+mn-lt"/>
            <a:ea typeface="+mn-ea"/>
            <a:cs typeface="+mn-cs"/>
          </a:endParaRPr>
        </a:p>
        <a:p>
          <a:pPr rtl="0" eaLnBrk="1" fontAlgn="base" latinLnBrk="0" hangingPunct="1"/>
          <a:r>
            <a:rPr lang="en-US" sz="1100">
              <a:effectLst/>
              <a:latin typeface="+mn-lt"/>
              <a:ea typeface="+mn-ea"/>
              <a:cs typeface="+mn-cs"/>
            </a:rPr>
            <a:t>RICAPS technical assistance is available through the San Mateo County Energy Watch program, which is funded by California utility customers, administered by Pacific Gas and Electric Company (PG&amp;E) under the auspices of the California Public Utilities Commission and with matching funds provided by C/CAG. </a:t>
          </a:r>
          <a:endParaRPr lang="en-US">
            <a:effectLst/>
          </a:endParaRP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91109</xdr:colOff>
      <xdr:row>0</xdr:row>
      <xdr:rowOff>55077</xdr:rowOff>
    </xdr:from>
    <xdr:to>
      <xdr:col>3</xdr:col>
      <xdr:colOff>521649</xdr:colOff>
      <xdr:row>3</xdr:row>
      <xdr:rowOff>248477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1109" y="55077"/>
          <a:ext cx="2766236" cy="938835"/>
        </a:xfrm>
        <a:prstGeom prst="rect">
          <a:avLst/>
        </a:prstGeom>
        <a:noFill/>
        <a:ln w="317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313764</xdr:colOff>
      <xdr:row>17</xdr:row>
      <xdr:rowOff>22413</xdr:rowOff>
    </xdr:from>
    <xdr:to>
      <xdr:col>13</xdr:col>
      <xdr:colOff>493059</xdr:colOff>
      <xdr:row>21</xdr:row>
      <xdr:rowOff>100854</xdr:rowOff>
    </xdr:to>
    <xdr:sp macro="" textlink="">
      <xdr:nvSpPr>
        <xdr:cNvPr id="2" name="TextBox 1">
          <a:extLst>
            <a:ext uri="{FF2B5EF4-FFF2-40B4-BE49-F238E27FC236}">
              <a16:creationId xmlns:a16="http://schemas.microsoft.com/office/drawing/2014/main" id="{CC1D2F6D-3C54-4FF2-A559-99BD08C75AEC}"/>
            </a:ext>
          </a:extLst>
        </xdr:cNvPr>
        <xdr:cNvSpPr txBox="1"/>
      </xdr:nvSpPr>
      <xdr:spPr>
        <a:xfrm>
          <a:off x="8919882" y="2622178"/>
          <a:ext cx="5434853" cy="88526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a:t>
          </a:r>
          <a:r>
            <a:rPr lang="en-US" sz="1100" baseline="0"/>
            <a:t> data to the left using the the most recent GHG inventory for a city. Not all cities will have the same subsectors of emissions (for example, some cities have trains in them and others do not). You may have to delete/add some rows depending on the city you're working with. </a:t>
          </a:r>
          <a:endParaRPr lang="en-US" sz="1100"/>
        </a:p>
      </xdr:txBody>
    </xdr:sp>
    <xdr:clientData/>
  </xdr:twoCellAnchor>
  <xdr:twoCellAnchor>
    <xdr:from>
      <xdr:col>3</xdr:col>
      <xdr:colOff>376517</xdr:colOff>
      <xdr:row>4</xdr:row>
      <xdr:rowOff>6724</xdr:rowOff>
    </xdr:from>
    <xdr:to>
      <xdr:col>6</xdr:col>
      <xdr:colOff>578223</xdr:colOff>
      <xdr:row>6</xdr:row>
      <xdr:rowOff>156882</xdr:rowOff>
    </xdr:to>
    <xdr:sp macro="" textlink="">
      <xdr:nvSpPr>
        <xdr:cNvPr id="3" name="TextBox 2">
          <a:extLst>
            <a:ext uri="{FF2B5EF4-FFF2-40B4-BE49-F238E27FC236}">
              <a16:creationId xmlns:a16="http://schemas.microsoft.com/office/drawing/2014/main" id="{4F041BB1-CD97-428F-8881-99602ED020D3}"/>
            </a:ext>
          </a:extLst>
        </xdr:cNvPr>
        <xdr:cNvSpPr txBox="1"/>
      </xdr:nvSpPr>
      <xdr:spPr>
        <a:xfrm>
          <a:off x="4769223" y="1194548"/>
          <a:ext cx="5434853" cy="53115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 drop-down to left to match the most</a:t>
          </a:r>
          <a:r>
            <a:rPr lang="en-US" sz="1100" baseline="0"/>
            <a:t> recent GHG inventory year you're using for the forecast. </a:t>
          </a:r>
          <a:endParaRPr lang="en-US" sz="1100"/>
        </a:p>
      </xdr:txBody>
    </xdr:sp>
    <xdr:clientData/>
  </xdr:twoCellAnchor>
  <xdr:twoCellAnchor>
    <xdr:from>
      <xdr:col>5</xdr:col>
      <xdr:colOff>380999</xdr:colOff>
      <xdr:row>36</xdr:row>
      <xdr:rowOff>22412</xdr:rowOff>
    </xdr:from>
    <xdr:to>
      <xdr:col>13</xdr:col>
      <xdr:colOff>560294</xdr:colOff>
      <xdr:row>40</xdr:row>
      <xdr:rowOff>145676</xdr:rowOff>
    </xdr:to>
    <xdr:sp macro="" textlink="">
      <xdr:nvSpPr>
        <xdr:cNvPr id="4" name="TextBox 3">
          <a:extLst>
            <a:ext uri="{FF2B5EF4-FFF2-40B4-BE49-F238E27FC236}">
              <a16:creationId xmlns:a16="http://schemas.microsoft.com/office/drawing/2014/main" id="{7D62916B-E387-4F70-8BE9-1ACDADF00110}"/>
            </a:ext>
          </a:extLst>
        </xdr:cNvPr>
        <xdr:cNvSpPr txBox="1"/>
      </xdr:nvSpPr>
      <xdr:spPr>
        <a:xfrm>
          <a:off x="8987117" y="6465794"/>
          <a:ext cx="5434853" cy="88526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a:t>
          </a:r>
          <a:r>
            <a:rPr lang="en-US" sz="1100" baseline="0"/>
            <a:t> data to the left using the the most recent GHG inventory for a city. Not all cities will have the same subsectors of emissions (for example, some cities have trains in them and others do not). You may have to delete/add some rows depending on the city you're working with. </a:t>
          </a:r>
          <a:endParaRPr lang="en-US" sz="1100"/>
        </a:p>
      </xdr:txBody>
    </xdr:sp>
    <xdr:clientData/>
  </xdr:twoCellAnchor>
  <xdr:twoCellAnchor>
    <xdr:from>
      <xdr:col>5</xdr:col>
      <xdr:colOff>268940</xdr:colOff>
      <xdr:row>55</xdr:row>
      <xdr:rowOff>224117</xdr:rowOff>
    </xdr:from>
    <xdr:to>
      <xdr:col>13</xdr:col>
      <xdr:colOff>448235</xdr:colOff>
      <xdr:row>60</xdr:row>
      <xdr:rowOff>67234</xdr:rowOff>
    </xdr:to>
    <xdr:sp macro="" textlink="">
      <xdr:nvSpPr>
        <xdr:cNvPr id="5" name="TextBox 4">
          <a:extLst>
            <a:ext uri="{FF2B5EF4-FFF2-40B4-BE49-F238E27FC236}">
              <a16:creationId xmlns:a16="http://schemas.microsoft.com/office/drawing/2014/main" id="{418399FF-A348-4442-BA3B-09579758793A}"/>
            </a:ext>
          </a:extLst>
        </xdr:cNvPr>
        <xdr:cNvSpPr txBox="1"/>
      </xdr:nvSpPr>
      <xdr:spPr>
        <a:xfrm>
          <a:off x="8875058" y="10331823"/>
          <a:ext cx="5434853" cy="88526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a:t>
          </a:r>
          <a:r>
            <a:rPr lang="en-US" sz="1100" baseline="0"/>
            <a:t> data to the left using the the most recent GHG inventory for a city. Not all cities will have the same subsectors of emissions (for example, some cities have trains in them and others do not). You may have to delete/add some rows depending on the city you're working with. </a:t>
          </a:r>
          <a:endParaRPr lang="en-US" sz="1100"/>
        </a:p>
      </xdr:txBody>
    </xdr:sp>
    <xdr:clientData/>
  </xdr:twoCellAnchor>
  <xdr:twoCellAnchor>
    <xdr:from>
      <xdr:col>5</xdr:col>
      <xdr:colOff>369794</xdr:colOff>
      <xdr:row>74</xdr:row>
      <xdr:rowOff>179294</xdr:rowOff>
    </xdr:from>
    <xdr:to>
      <xdr:col>13</xdr:col>
      <xdr:colOff>549089</xdr:colOff>
      <xdr:row>78</xdr:row>
      <xdr:rowOff>100853</xdr:rowOff>
    </xdr:to>
    <xdr:sp macro="" textlink="">
      <xdr:nvSpPr>
        <xdr:cNvPr id="6" name="TextBox 5">
          <a:extLst>
            <a:ext uri="{FF2B5EF4-FFF2-40B4-BE49-F238E27FC236}">
              <a16:creationId xmlns:a16="http://schemas.microsoft.com/office/drawing/2014/main" id="{50C860CA-E2EE-44EA-B9A0-24B4F7066216}"/>
            </a:ext>
          </a:extLst>
        </xdr:cNvPr>
        <xdr:cNvSpPr txBox="1"/>
      </xdr:nvSpPr>
      <xdr:spPr>
        <a:xfrm>
          <a:off x="8975912" y="14007353"/>
          <a:ext cx="5434853" cy="73958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pull the VMT data from the most recent inventory. The waste emissions should always be for year 2014 because the State policy is based off of reductions below 2014 baseline. </a:t>
          </a:r>
        </a:p>
      </xdr:txBody>
    </xdr:sp>
    <xdr:clientData/>
  </xdr:twoCellAnchor>
  <xdr:twoCellAnchor>
    <xdr:from>
      <xdr:col>3</xdr:col>
      <xdr:colOff>179295</xdr:colOff>
      <xdr:row>79</xdr:row>
      <xdr:rowOff>336176</xdr:rowOff>
    </xdr:from>
    <xdr:to>
      <xdr:col>6</xdr:col>
      <xdr:colOff>381001</xdr:colOff>
      <xdr:row>81</xdr:row>
      <xdr:rowOff>156882</xdr:rowOff>
    </xdr:to>
    <xdr:sp macro="" textlink="">
      <xdr:nvSpPr>
        <xdr:cNvPr id="7" name="TextBox 6">
          <a:extLst>
            <a:ext uri="{FF2B5EF4-FFF2-40B4-BE49-F238E27FC236}">
              <a16:creationId xmlns:a16="http://schemas.microsoft.com/office/drawing/2014/main" id="{561550B0-0A18-42E8-80FF-4F6DE2A34F24}"/>
            </a:ext>
          </a:extLst>
        </xdr:cNvPr>
        <xdr:cNvSpPr txBox="1"/>
      </xdr:nvSpPr>
      <xdr:spPr>
        <a:xfrm>
          <a:off x="4572001" y="15228794"/>
          <a:ext cx="5434853" cy="58270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a:t>
          </a:r>
          <a:r>
            <a:rPr lang="en-US" sz="1100" baseline="0"/>
            <a:t> these years, just throw in the total emissions from the most recent inventory trend/summary chart. This data is really only used to show the historical trend line.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142987</xdr:colOff>
      <xdr:row>5</xdr:row>
      <xdr:rowOff>40053</xdr:rowOff>
    </xdr:from>
    <xdr:to>
      <xdr:col>7</xdr:col>
      <xdr:colOff>1111809</xdr:colOff>
      <xdr:row>28</xdr:row>
      <xdr:rowOff>40054</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1125811</xdr:colOff>
      <xdr:row>121</xdr:row>
      <xdr:rowOff>3394</xdr:rowOff>
    </xdr:from>
    <xdr:to>
      <xdr:col>11</xdr:col>
      <xdr:colOff>165208</xdr:colOff>
      <xdr:row>125</xdr:row>
      <xdr:rowOff>182836</xdr:rowOff>
    </xdr:to>
    <xdr:sp macro="" textlink="">
      <xdr:nvSpPr>
        <xdr:cNvPr id="2" name="TextBox 1">
          <a:extLst>
            <a:ext uri="{FF2B5EF4-FFF2-40B4-BE49-F238E27FC236}">
              <a16:creationId xmlns:a16="http://schemas.microsoft.com/office/drawing/2014/main" id="{1CEE43D1-17E0-405A-BA9A-4BE53EF431D7}"/>
            </a:ext>
          </a:extLst>
        </xdr:cNvPr>
        <xdr:cNvSpPr txBox="1"/>
      </xdr:nvSpPr>
      <xdr:spPr>
        <a:xfrm>
          <a:off x="11263914" y="25436239"/>
          <a:ext cx="2455260" cy="96771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Umay, all this data below in yellow can be grabbed from the most recent GHG inventory. You may have to hunt around on different tabs</a:t>
          </a:r>
          <a:r>
            <a:rPr lang="en-US" sz="1100" baseline="0"/>
            <a:t> to find it, but it's all in there. </a:t>
          </a:r>
          <a:endParaRPr lang="en-US" sz="1100"/>
        </a:p>
      </xdr:txBody>
    </xdr:sp>
    <xdr:clientData/>
  </xdr:twoCellAnchor>
  <xdr:twoCellAnchor>
    <xdr:from>
      <xdr:col>6</xdr:col>
      <xdr:colOff>705507</xdr:colOff>
      <xdr:row>55</xdr:row>
      <xdr:rowOff>20473</xdr:rowOff>
    </xdr:from>
    <xdr:to>
      <xdr:col>8</xdr:col>
      <xdr:colOff>889766</xdr:colOff>
      <xdr:row>62</xdr:row>
      <xdr:rowOff>168603</xdr:rowOff>
    </xdr:to>
    <xdr:sp macro="" textlink="">
      <xdr:nvSpPr>
        <xdr:cNvPr id="4" name="TextBox 3">
          <a:extLst>
            <a:ext uri="{FF2B5EF4-FFF2-40B4-BE49-F238E27FC236}">
              <a16:creationId xmlns:a16="http://schemas.microsoft.com/office/drawing/2014/main" id="{F8E5853F-7EDF-4355-AAC4-DE3744E0D599}"/>
            </a:ext>
          </a:extLst>
        </xdr:cNvPr>
        <xdr:cNvSpPr txBox="1"/>
      </xdr:nvSpPr>
      <xdr:spPr>
        <a:xfrm>
          <a:off x="9606455" y="12753318"/>
          <a:ext cx="2560035" cy="176847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You're either going to want to grab this data from the "Plan Bay Area Data" tab or,</a:t>
          </a:r>
          <a:r>
            <a:rPr lang="en-US" sz="1100" baseline="0"/>
            <a:t> if the city has their own projections, use those instead. Those projections would need to be provided by city. </a:t>
          </a:r>
          <a:endParaRPr lang="en-US" sz="1100"/>
        </a:p>
      </xdr:txBody>
    </xdr:sp>
    <xdr:clientData/>
  </xdr:twoCellAnchor>
  <xdr:twoCellAnchor>
    <xdr:from>
      <xdr:col>15</xdr:col>
      <xdr:colOff>380284</xdr:colOff>
      <xdr:row>43</xdr:row>
      <xdr:rowOff>154049</xdr:rowOff>
    </xdr:from>
    <xdr:to>
      <xdr:col>17</xdr:col>
      <xdr:colOff>802121</xdr:colOff>
      <xdr:row>51</xdr:row>
      <xdr:rowOff>89529</xdr:rowOff>
    </xdr:to>
    <xdr:sp macro="" textlink="">
      <xdr:nvSpPr>
        <xdr:cNvPr id="5" name="TextBox 4">
          <a:extLst>
            <a:ext uri="{FF2B5EF4-FFF2-40B4-BE49-F238E27FC236}">
              <a16:creationId xmlns:a16="http://schemas.microsoft.com/office/drawing/2014/main" id="{BA636BD5-71EF-4F0A-A1DA-65DF946CE7A8}"/>
            </a:ext>
          </a:extLst>
        </xdr:cNvPr>
        <xdr:cNvSpPr txBox="1"/>
      </xdr:nvSpPr>
      <xdr:spPr>
        <a:xfrm>
          <a:off x="19691453" y="9863404"/>
          <a:ext cx="2695547" cy="205556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Cells to left, you ususally don't have to update anything, but take a</a:t>
          </a:r>
          <a:r>
            <a:rPr lang="en-US" sz="1100" baseline="0"/>
            <a:t> a look at the formulas. You have a hard coded "10" and "20" in there that represent the # of years between the population/jobs forecast projections (e.g. 2020-2010 = 10). Used to calculate CAGR. If the years change in below table (e.g. you're calculating population growth from 2015 --&gt; 2020) you would need to change the hard coded numbers. </a:t>
          </a:r>
          <a:endParaRPr lang="en-US" sz="1100"/>
        </a:p>
      </xdr:txBody>
    </xdr:sp>
    <xdr:clientData/>
  </xdr:twoCellAnchor>
  <xdr:twoCellAnchor>
    <xdr:from>
      <xdr:col>3</xdr:col>
      <xdr:colOff>104775</xdr:colOff>
      <xdr:row>2</xdr:row>
      <xdr:rowOff>104776</xdr:rowOff>
    </xdr:from>
    <xdr:to>
      <xdr:col>6</xdr:col>
      <xdr:colOff>895350</xdr:colOff>
      <xdr:row>5</xdr:row>
      <xdr:rowOff>1</xdr:rowOff>
    </xdr:to>
    <xdr:sp macro="" textlink="">
      <xdr:nvSpPr>
        <xdr:cNvPr id="6" name="TextBox 5">
          <a:extLst>
            <a:ext uri="{FF2B5EF4-FFF2-40B4-BE49-F238E27FC236}">
              <a16:creationId xmlns:a16="http://schemas.microsoft.com/office/drawing/2014/main" id="{0A9A9604-BA21-48BC-BFD9-41E1E702CA24}"/>
            </a:ext>
          </a:extLst>
        </xdr:cNvPr>
        <xdr:cNvSpPr txBox="1"/>
      </xdr:nvSpPr>
      <xdr:spPr>
        <a:xfrm>
          <a:off x="4953000" y="1285876"/>
          <a:ext cx="4838700" cy="51435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 this drop-down to match city you're working with. All</a:t>
          </a:r>
          <a:r>
            <a:rPr lang="en-US" sz="1100" baseline="0"/>
            <a:t> it does is pull VMT projection data from the "State Policies + Assumptions" tab. </a:t>
          </a:r>
          <a:endParaRPr lang="en-US" sz="1100"/>
        </a:p>
      </xdr:txBody>
    </xdr:sp>
    <xdr:clientData/>
  </xdr:twoCellAnchor>
  <xdr:twoCellAnchor>
    <xdr:from>
      <xdr:col>8</xdr:col>
      <xdr:colOff>47625</xdr:colOff>
      <xdr:row>5</xdr:row>
      <xdr:rowOff>38100</xdr:rowOff>
    </xdr:from>
    <xdr:to>
      <xdr:col>11</xdr:col>
      <xdr:colOff>9525</xdr:colOff>
      <xdr:row>7</xdr:row>
      <xdr:rowOff>9525</xdr:rowOff>
    </xdr:to>
    <xdr:sp macro="" textlink="">
      <xdr:nvSpPr>
        <xdr:cNvPr id="7" name="TextBox 6">
          <a:extLst>
            <a:ext uri="{FF2B5EF4-FFF2-40B4-BE49-F238E27FC236}">
              <a16:creationId xmlns:a16="http://schemas.microsoft.com/office/drawing/2014/main" id="{95D39B6A-B599-4B95-B2E1-AA1CE666D7ED}"/>
            </a:ext>
          </a:extLst>
        </xdr:cNvPr>
        <xdr:cNvSpPr txBox="1"/>
      </xdr:nvSpPr>
      <xdr:spPr>
        <a:xfrm>
          <a:off x="11315700" y="1838325"/>
          <a:ext cx="3362325" cy="37147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Update title of graph to match city you're</a:t>
          </a:r>
          <a:r>
            <a:rPr lang="en-US" sz="1100" baseline="0"/>
            <a:t> working with. </a:t>
          </a:r>
          <a:endParaRPr lang="en-US" sz="1100"/>
        </a:p>
      </xdr:txBody>
    </xdr:sp>
    <xdr:clientData/>
  </xdr:twoCellAnchor>
  <xdr:twoCellAnchor>
    <xdr:from>
      <xdr:col>8</xdr:col>
      <xdr:colOff>146036</xdr:colOff>
      <xdr:row>35</xdr:row>
      <xdr:rowOff>121439</xdr:rowOff>
    </xdr:from>
    <xdr:to>
      <xdr:col>10</xdr:col>
      <xdr:colOff>167932</xdr:colOff>
      <xdr:row>37</xdr:row>
      <xdr:rowOff>45356</xdr:rowOff>
    </xdr:to>
    <xdr:sp macro="" textlink="">
      <xdr:nvSpPr>
        <xdr:cNvPr id="9" name="TextBox 8">
          <a:extLst>
            <a:ext uri="{FF2B5EF4-FFF2-40B4-BE49-F238E27FC236}">
              <a16:creationId xmlns:a16="http://schemas.microsoft.com/office/drawing/2014/main" id="{D870959C-425E-4511-97D0-C91CAFE730F8}"/>
            </a:ext>
          </a:extLst>
        </xdr:cNvPr>
        <xdr:cNvSpPr txBox="1"/>
      </xdr:nvSpPr>
      <xdr:spPr>
        <a:xfrm>
          <a:off x="11405947" y="8081618"/>
          <a:ext cx="2289753" cy="332131"/>
        </a:xfrm>
        <a:prstGeom prst="rect">
          <a:avLst/>
        </a:prstGeom>
        <a:solidFill>
          <a:schemeClr val="accent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It comes from the MenuofMeasures </a:t>
          </a:r>
          <a:endParaRPr lang="en-US" sz="1100"/>
        </a:p>
      </xdr:txBody>
    </xdr:sp>
    <xdr:clientData/>
  </xdr:twoCellAnchor>
  <xdr:twoCellAnchor>
    <xdr:from>
      <xdr:col>4</xdr:col>
      <xdr:colOff>287844</xdr:colOff>
      <xdr:row>11</xdr:row>
      <xdr:rowOff>75885</xdr:rowOff>
    </xdr:from>
    <xdr:to>
      <xdr:col>5</xdr:col>
      <xdr:colOff>498928</xdr:colOff>
      <xdr:row>15</xdr:row>
      <xdr:rowOff>96819</xdr:rowOff>
    </xdr:to>
    <xdr:sp macro="" textlink="'Chart Areas'!M49">
      <xdr:nvSpPr>
        <xdr:cNvPr id="8" name="TextBox 7">
          <a:extLst>
            <a:ext uri="{FF2B5EF4-FFF2-40B4-BE49-F238E27FC236}">
              <a16:creationId xmlns:a16="http://schemas.microsoft.com/office/drawing/2014/main" id="{3F9C924F-84FE-4057-8A49-832E82FAE477}"/>
            </a:ext>
          </a:extLst>
        </xdr:cNvPr>
        <xdr:cNvSpPr txBox="1"/>
      </xdr:nvSpPr>
      <xdr:spPr>
        <a:xfrm>
          <a:off x="6705880" y="3092135"/>
          <a:ext cx="1447066" cy="837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B6E63A0-D2F8-4A94-B87E-D3FC6DFC2F04}" type="TxLink">
            <a:rPr lang="en-US" sz="1200" b="1" i="0" u="none" strike="noStrike">
              <a:solidFill>
                <a:srgbClr val="000000"/>
              </a:solidFill>
              <a:latin typeface="Calibri"/>
              <a:cs typeface="Calibri"/>
            </a:rPr>
            <a:pPr/>
            <a:t>BAU w/ State Measures Emission Reduction: 339,081</a:t>
          </a:fld>
          <a:endParaRPr lang="en-US" sz="400" b="0">
            <a:latin typeface="+mn-lt"/>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0.59236</cdr:x>
      <cdr:y>0.54381</cdr:y>
    </cdr:from>
    <cdr:to>
      <cdr:x>0.74751</cdr:x>
      <cdr:y>0.73543</cdr:y>
    </cdr:to>
    <cdr:sp macro="" textlink="'Chart Areas'!$K$49">
      <cdr:nvSpPr>
        <cdr:cNvPr id="2" name="TextBox 1">
          <a:extLst xmlns:a="http://schemas.openxmlformats.org/drawingml/2006/main">
            <a:ext uri="{FF2B5EF4-FFF2-40B4-BE49-F238E27FC236}">
              <a16:creationId xmlns:a16="http://schemas.microsoft.com/office/drawing/2014/main" id="{7DACEC7E-53FD-494E-AAA5-05EB1B985C6C}"/>
            </a:ext>
          </a:extLst>
        </cdr:cNvPr>
        <cdr:cNvSpPr txBox="1"/>
      </cdr:nvSpPr>
      <cdr:spPr>
        <a:xfrm xmlns:a="http://schemas.openxmlformats.org/drawingml/2006/main">
          <a:off x="6572093" y="2552875"/>
          <a:ext cx="1721349" cy="89957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68AD0868-F52B-4ED4-98F5-093768E2B686}" type="TxLink">
            <a:rPr lang="en-US" sz="1200" b="1" i="0" u="none" strike="noStrike">
              <a:solidFill>
                <a:srgbClr val="000000"/>
              </a:solidFill>
              <a:latin typeface="Calibri"/>
              <a:cs typeface="Calibri"/>
            </a:rPr>
            <a:pPr/>
            <a:t>Projected Additional Reduction with Selected City Measures:  337,440</a:t>
          </a:fld>
          <a:endParaRPr lang="en-US" sz="1200" b="1"/>
        </a:p>
      </cdr:txBody>
    </cdr:sp>
  </cdr:relSizeAnchor>
</c:userShapes>
</file>

<file path=xl/drawings/drawing5.xml><?xml version="1.0" encoding="utf-8"?>
<xdr:wsDr xmlns:xdr="http://schemas.openxmlformats.org/drawingml/2006/spreadsheetDrawing" xmlns:a="http://schemas.openxmlformats.org/drawingml/2006/main">
  <xdr:twoCellAnchor>
    <xdr:from>
      <xdr:col>63</xdr:col>
      <xdr:colOff>466725</xdr:colOff>
      <xdr:row>1</xdr:row>
      <xdr:rowOff>28575</xdr:rowOff>
    </xdr:from>
    <xdr:to>
      <xdr:col>68</xdr:col>
      <xdr:colOff>542925</xdr:colOff>
      <xdr:row>5</xdr:row>
      <xdr:rowOff>95250</xdr:rowOff>
    </xdr:to>
    <xdr:sp macro="" textlink="">
      <xdr:nvSpPr>
        <xdr:cNvPr id="2" name="TextBox 1">
          <a:extLst>
            <a:ext uri="{FF2B5EF4-FFF2-40B4-BE49-F238E27FC236}">
              <a16:creationId xmlns:a16="http://schemas.microsoft.com/office/drawing/2014/main" id="{14A752E2-3297-4BDD-A082-8EDD815A90BB}"/>
            </a:ext>
          </a:extLst>
        </xdr:cNvPr>
        <xdr:cNvSpPr txBox="1"/>
      </xdr:nvSpPr>
      <xdr:spPr>
        <a:xfrm>
          <a:off x="7210425" y="219075"/>
          <a:ext cx="3362325" cy="82867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FYI</a:t>
          </a:r>
          <a:r>
            <a:rPr lang="en-US" sz="1100" baseline="0"/>
            <a:t> this tab no longer "drives" any of the calculations because it's been replaced by "SMC_EMFAC_2017" tab. Just leaving it in as example or in case you need it at some point in future, but probably can be deleted.  </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704850</xdr:colOff>
      <xdr:row>30</xdr:row>
      <xdr:rowOff>152400</xdr:rowOff>
    </xdr:from>
    <xdr:to>
      <xdr:col>9</xdr:col>
      <xdr:colOff>295275</xdr:colOff>
      <xdr:row>45</xdr:row>
      <xdr:rowOff>38100</xdr:rowOff>
    </xdr:to>
    <xdr:graphicFrame macro="">
      <xdr:nvGraphicFramePr>
        <xdr:cNvPr id="2" name="Chart 1">
          <a:extLst>
            <a:ext uri="{FF2B5EF4-FFF2-40B4-BE49-F238E27FC236}">
              <a16:creationId xmlns:a16="http://schemas.microsoft.com/office/drawing/2014/main" id="{4E5213D0-D9F5-4D6D-BD2F-9368C6935B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88</xdr:row>
      <xdr:rowOff>76200</xdr:rowOff>
    </xdr:from>
    <xdr:to>
      <xdr:col>1</xdr:col>
      <xdr:colOff>1838325</xdr:colOff>
      <xdr:row>102</xdr:row>
      <xdr:rowOff>152400</xdr:rowOff>
    </xdr:to>
    <xdr:graphicFrame macro="">
      <xdr:nvGraphicFramePr>
        <xdr:cNvPr id="3" name="Chart 2">
          <a:extLst>
            <a:ext uri="{FF2B5EF4-FFF2-40B4-BE49-F238E27FC236}">
              <a16:creationId xmlns:a16="http://schemas.microsoft.com/office/drawing/2014/main" id="{67CF5B16-AAD3-4B85-849B-95A12B619F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114300</xdr:colOff>
      <xdr:row>74</xdr:row>
      <xdr:rowOff>47625</xdr:rowOff>
    </xdr:from>
    <xdr:to>
      <xdr:col>14</xdr:col>
      <xdr:colOff>419100</xdr:colOff>
      <xdr:row>88</xdr:row>
      <xdr:rowOff>123825</xdr:rowOff>
    </xdr:to>
    <xdr:graphicFrame macro="">
      <xdr:nvGraphicFramePr>
        <xdr:cNvPr id="4" name="Chart 3">
          <a:extLst>
            <a:ext uri="{FF2B5EF4-FFF2-40B4-BE49-F238E27FC236}">
              <a16:creationId xmlns:a16="http://schemas.microsoft.com/office/drawing/2014/main" id="{02E58BAF-70C5-4917-9EE7-51ACDBBC1F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o-file01\projects\SAC\211xxx\D211782.00%20-%20Oakdale%20GP%20SP%20EIR\CAP\GHG%20Reduction%20Measures\Waste\Landgem%20Results%20Analysis%20with%20SPECIFIC%20Oakdale%20Diversion%20Figures_Updated%20with%20GP%20Projec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Base Year"/>
      <sheetName val="Year 2020 at 75% diver+incin"/>
      <sheetName val="Year 2030 at 75% diver+incin"/>
      <sheetName val="Year 2020 at 90% diver+incin"/>
      <sheetName val="Year 2030 at 90% diver+inci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RICAPS">
  <a:themeElements>
    <a:clrScheme name="Custom 1">
      <a:dk1>
        <a:sysClr val="windowText" lastClr="000000"/>
      </a:dk1>
      <a:lt1>
        <a:srgbClr val="FFFFFF"/>
      </a:lt1>
      <a:dk2>
        <a:srgbClr val="4D4C48"/>
      </a:dk2>
      <a:lt2>
        <a:srgbClr val="4D4C48"/>
      </a:lt2>
      <a:accent1>
        <a:srgbClr val="055477"/>
      </a:accent1>
      <a:accent2>
        <a:srgbClr val="669FD4"/>
      </a:accent2>
      <a:accent3>
        <a:srgbClr val="DE532A"/>
      </a:accent3>
      <a:accent4>
        <a:srgbClr val="F48730"/>
      </a:accent4>
      <a:accent5>
        <a:srgbClr val="82C341"/>
      </a:accent5>
      <a:accent6>
        <a:srgbClr val="CBDE66"/>
      </a:accent6>
      <a:hlink>
        <a:srgbClr val="009099"/>
      </a:hlink>
      <a:folHlink>
        <a:srgbClr val="75CCD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pge.com/pge_global/common/pdfs/your-account/your-bill/understand-your-bill/bill-inserts/2018/10-18_PowerContent.pdf" TargetMode="External"/><Relationship Id="rId7" Type="http://schemas.openxmlformats.org/officeDocument/2006/relationships/printerSettings" Target="../printerSettings/printerSettings5.bin"/><Relationship Id="rId2" Type="http://schemas.openxmlformats.org/officeDocument/2006/relationships/hyperlink" Target="https://www.ethree.com/wp-content/uploads/2017/01/E3_Final_RPS_Report_2014_01_06_with_appendices.pdf" TargetMode="External"/><Relationship Id="rId1" Type="http://schemas.openxmlformats.org/officeDocument/2006/relationships/hyperlink" Target="https://www.arb.ca.gov/emfac/2017/" TargetMode="External"/><Relationship Id="rId6" Type="http://schemas.openxmlformats.org/officeDocument/2006/relationships/hyperlink" Target="https://ww3.arb.ca.gov/fuels/lcfs/background/basics-notes.pdf" TargetMode="External"/><Relationship Id="rId5" Type="http://schemas.openxmlformats.org/officeDocument/2006/relationships/hyperlink" Target="https://www.vox.com/energy-and-environment/2018/8/31/17799094/california-100-percent-clean-energy-target-brown-de-leon" TargetMode="External"/><Relationship Id="rId4" Type="http://schemas.openxmlformats.org/officeDocument/2006/relationships/hyperlink" Target="http://www.caltrain.com/Assets/Caltrain+Modernization+Program/FEIR/3.7+Greenhouse+Gas+V2+120514.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gsweventcenter.com/Draft_SEIR_References/2013_xxxx_BayArea_ABAG_Projections.pdf" TargetMode="External"/><Relationship Id="rId2" Type="http://schemas.openxmlformats.org/officeDocument/2006/relationships/hyperlink" Target="http://www.gsweventcenter.com/Draft_SEIR_References/2013_xxxx_BayArea_ABAG_Projections.pdf" TargetMode="External"/><Relationship Id="rId1" Type="http://schemas.openxmlformats.org/officeDocument/2006/relationships/hyperlink" Target="https://abag.ca.gov/abag/events/agendas/o110416a-Item%2005A,%20Plan%20Bay%20Area%202040%20Final%20Preferred%20Scenario%20and%20Investment%20Strategy.pdf" TargetMode="External"/><Relationship Id="rId6" Type="http://schemas.openxmlformats.org/officeDocument/2006/relationships/printerSettings" Target="../printerSettings/printerSettings6.bin"/><Relationship Id="rId5" Type="http://schemas.openxmlformats.org/officeDocument/2006/relationships/hyperlink" Target="https://abag.ca.gov/abag/events/agendas/o110416a-Item%2005A,%20Plan%20Bay%20Area%202040%20Final%20Preferred%20Scenario%20and%20Investment%20Strategy.pdf" TargetMode="External"/><Relationship Id="rId4" Type="http://schemas.openxmlformats.org/officeDocument/2006/relationships/hyperlink" Target="https://abag.ca.gov/abag/events/agendas/o110416a-Item%2005A,%20Plan%20Bay%20Area%202040%20Final%20Preferred%20Scenario%20and%20Investment%20Strategy.pdf"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6:D17"/>
  <sheetViews>
    <sheetView showGridLines="0" tabSelected="1" topLeftCell="A4" zoomScale="115" zoomScaleNormal="115" workbookViewId="0">
      <selection activeCell="D15" sqref="D15"/>
    </sheetView>
  </sheetViews>
  <sheetFormatPr defaultColWidth="11.6640625" defaultRowHeight="20.149999999999999" customHeight="1"/>
  <cols>
    <col min="1" max="16384" width="11.6640625" style="6"/>
  </cols>
  <sheetData>
    <row r="16" ht="20.149999999999999" customHeight="1" thickBot="1"/>
    <row r="17" spans="2:4" ht="56.5" thickBot="1">
      <c r="B17" s="1086"/>
      <c r="D17" s="554" t="s">
        <v>518</v>
      </c>
    </row>
  </sheetData>
  <pageMargins left="0.70000004768371582" right="0.70000004768371582" top="0.75" bottom="0.75" header="0.30000001192092896" footer="0.30000001192092896"/>
  <pageSetup paperSize="0" orientation="landscape" useFirstPageNumber="1" horizontalDpi="0" verticalDpi="0" copies="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8626667073579"/>
  </sheetPr>
  <dimension ref="B1:BM73"/>
  <sheetViews>
    <sheetView showGridLines="0" workbookViewId="0">
      <pane ySplit="9" topLeftCell="A67" activePane="bottomLeft" state="frozen"/>
      <selection activeCell="BP64" sqref="BP64"/>
      <selection pane="bottomLeft" activeCell="BP7" sqref="BP7"/>
    </sheetView>
  </sheetViews>
  <sheetFormatPr defaultColWidth="9.08203125" defaultRowHeight="14"/>
  <cols>
    <col min="1" max="1" width="3.08203125" style="58" customWidth="1"/>
    <col min="2" max="2" width="14.58203125" style="58" customWidth="1"/>
    <col min="3" max="3" width="13.4140625" style="58" customWidth="1"/>
    <col min="4" max="4" width="27.1640625" style="58" customWidth="1"/>
    <col min="5" max="5" width="11.1640625" style="58" hidden="1" customWidth="1"/>
    <col min="6" max="6" width="11.08203125" style="58" hidden="1" customWidth="1"/>
    <col min="7" max="7" width="12.58203125" style="58" customWidth="1"/>
    <col min="8" max="8" width="11.9140625" style="58" hidden="1" customWidth="1"/>
    <col min="9" max="9" width="12.6640625" style="58" customWidth="1"/>
    <col min="10" max="10" width="11.9140625" style="58" hidden="1" customWidth="1"/>
    <col min="11" max="11" width="12.08203125" style="58" hidden="1" customWidth="1"/>
    <col min="12" max="40" width="11.9140625" style="58" hidden="1" customWidth="1"/>
    <col min="41" max="41" width="13.1640625" style="58" hidden="1" customWidth="1"/>
    <col min="42" max="42" width="11.9140625" style="58" hidden="1" customWidth="1"/>
    <col min="43" max="43" width="12.1640625" style="58" hidden="1" customWidth="1"/>
    <col min="44" max="44" width="12.58203125" style="58" hidden="1" customWidth="1"/>
    <col min="45" max="45" width="13.08203125" style="58" hidden="1" customWidth="1"/>
    <col min="46" max="46" width="13.1640625" style="58" hidden="1" customWidth="1"/>
    <col min="47" max="47" width="12.58203125" style="58" hidden="1" customWidth="1"/>
    <col min="48" max="48" width="14.1640625" style="58" hidden="1" customWidth="1"/>
    <col min="49" max="49" width="12.83203125" style="58" hidden="1" customWidth="1"/>
    <col min="50" max="50" width="13.4140625" style="58" hidden="1" customWidth="1"/>
    <col min="51" max="51" width="13.6640625" style="58" hidden="1" customWidth="1"/>
    <col min="52" max="52" width="14.08203125" style="58" hidden="1" customWidth="1"/>
    <col min="53" max="53" width="14.1640625" style="58" hidden="1" customWidth="1"/>
    <col min="54" max="54" width="13.6640625" style="58" hidden="1" customWidth="1"/>
    <col min="55" max="62" width="11.9140625" style="58" hidden="1" customWidth="1"/>
    <col min="63" max="63" width="17.4140625" style="58" customWidth="1"/>
    <col min="64" max="64" width="9.08203125" style="58"/>
    <col min="65" max="65" width="12.6640625" style="58" customWidth="1"/>
    <col min="66" max="16384" width="9.08203125" style="58"/>
  </cols>
  <sheetData>
    <row r="1" spans="2:63">
      <c r="B1" s="58" t="s">
        <v>253</v>
      </c>
    </row>
    <row r="2" spans="2:63">
      <c r="B2" s="58" t="s">
        <v>231</v>
      </c>
    </row>
    <row r="3" spans="2:63">
      <c r="B3" s="58" t="s">
        <v>254</v>
      </c>
    </row>
    <row r="4" spans="2:63">
      <c r="B4" s="58" t="s">
        <v>255</v>
      </c>
    </row>
    <row r="5" spans="2:63">
      <c r="B5" s="58" t="s">
        <v>230</v>
      </c>
    </row>
    <row r="6" spans="2:63">
      <c r="B6" s="58" t="s">
        <v>229</v>
      </c>
    </row>
    <row r="7" spans="2:63">
      <c r="B7" s="58" t="s">
        <v>228</v>
      </c>
    </row>
    <row r="8" spans="2:63" ht="14.5" thickBot="1"/>
    <row r="9" spans="2:63" ht="14.5" thickBot="1">
      <c r="B9" s="123" t="s">
        <v>227</v>
      </c>
      <c r="C9" s="124" t="s">
        <v>256</v>
      </c>
      <c r="D9" s="124" t="s">
        <v>257</v>
      </c>
      <c r="E9" s="124" t="s">
        <v>258</v>
      </c>
      <c r="F9" s="124" t="s">
        <v>226</v>
      </c>
      <c r="G9" s="124" t="s">
        <v>225</v>
      </c>
      <c r="H9" s="124" t="s">
        <v>224</v>
      </c>
      <c r="I9" s="124" t="s">
        <v>128</v>
      </c>
      <c r="J9" s="124" t="s">
        <v>223</v>
      </c>
      <c r="K9" s="124" t="s">
        <v>222</v>
      </c>
      <c r="L9" s="124" t="s">
        <v>221</v>
      </c>
      <c r="M9" s="124" t="s">
        <v>220</v>
      </c>
      <c r="N9" s="124" t="s">
        <v>219</v>
      </c>
      <c r="O9" s="124" t="s">
        <v>218</v>
      </c>
      <c r="P9" s="124" t="s">
        <v>217</v>
      </c>
      <c r="Q9" s="124" t="s">
        <v>216</v>
      </c>
      <c r="R9" s="124" t="s">
        <v>215</v>
      </c>
      <c r="S9" s="124" t="s">
        <v>214</v>
      </c>
      <c r="T9" s="124" t="s">
        <v>213</v>
      </c>
      <c r="U9" s="124" t="s">
        <v>212</v>
      </c>
      <c r="V9" s="124" t="s">
        <v>211</v>
      </c>
      <c r="W9" s="124" t="s">
        <v>210</v>
      </c>
      <c r="X9" s="124" t="s">
        <v>209</v>
      </c>
      <c r="Y9" s="124" t="s">
        <v>208</v>
      </c>
      <c r="Z9" s="124" t="s">
        <v>207</v>
      </c>
      <c r="AA9" s="124" t="s">
        <v>206</v>
      </c>
      <c r="AB9" s="124" t="s">
        <v>205</v>
      </c>
      <c r="AC9" s="124" t="s">
        <v>204</v>
      </c>
      <c r="AD9" s="124" t="s">
        <v>203</v>
      </c>
      <c r="AE9" s="124" t="s">
        <v>202</v>
      </c>
      <c r="AF9" s="124" t="s">
        <v>201</v>
      </c>
      <c r="AG9" s="124" t="s">
        <v>200</v>
      </c>
      <c r="AH9" s="124" t="s">
        <v>199</v>
      </c>
      <c r="AI9" s="124" t="s">
        <v>198</v>
      </c>
      <c r="AJ9" s="124" t="s">
        <v>197</v>
      </c>
      <c r="AK9" s="124" t="s">
        <v>196</v>
      </c>
      <c r="AL9" s="124" t="s">
        <v>195</v>
      </c>
      <c r="AM9" s="124" t="s">
        <v>194</v>
      </c>
      <c r="AN9" s="124" t="s">
        <v>193</v>
      </c>
      <c r="AO9" s="124" t="s">
        <v>192</v>
      </c>
      <c r="AP9" s="124" t="s">
        <v>191</v>
      </c>
      <c r="AQ9" s="124" t="s">
        <v>190</v>
      </c>
      <c r="AR9" s="124" t="s">
        <v>189</v>
      </c>
      <c r="AS9" s="124" t="s">
        <v>188</v>
      </c>
      <c r="AT9" s="124" t="s">
        <v>187</v>
      </c>
      <c r="AU9" s="124" t="s">
        <v>186</v>
      </c>
      <c r="AV9" s="124" t="s">
        <v>185</v>
      </c>
      <c r="AW9" s="124" t="s">
        <v>184</v>
      </c>
      <c r="AX9" s="124" t="s">
        <v>183</v>
      </c>
      <c r="AY9" s="124" t="s">
        <v>182</v>
      </c>
      <c r="AZ9" s="124" t="s">
        <v>181</v>
      </c>
      <c r="BA9" s="124" t="s">
        <v>180</v>
      </c>
      <c r="BB9" s="124" t="s">
        <v>179</v>
      </c>
      <c r="BC9" s="124" t="s">
        <v>178</v>
      </c>
      <c r="BD9" s="124" t="s">
        <v>177</v>
      </c>
      <c r="BE9" s="124" t="s">
        <v>176</v>
      </c>
      <c r="BF9" s="124" t="s">
        <v>175</v>
      </c>
      <c r="BG9" s="124" t="s">
        <v>259</v>
      </c>
      <c r="BH9" s="124" t="s">
        <v>260</v>
      </c>
      <c r="BI9" s="124" t="s">
        <v>261</v>
      </c>
      <c r="BJ9" s="124" t="s">
        <v>262</v>
      </c>
      <c r="BK9" s="125" t="s">
        <v>263</v>
      </c>
    </row>
    <row r="10" spans="2:63">
      <c r="B10" s="119" t="s">
        <v>264</v>
      </c>
      <c r="C10" s="120">
        <v>2015</v>
      </c>
      <c r="D10" s="120" t="s">
        <v>174</v>
      </c>
      <c r="E10" s="120" t="s">
        <v>131</v>
      </c>
      <c r="F10" s="120" t="s">
        <v>131</v>
      </c>
      <c r="G10" s="120" t="s">
        <v>146</v>
      </c>
      <c r="H10" s="120">
        <v>407.77</v>
      </c>
      <c r="I10" s="121">
        <v>25119.466945992201</v>
      </c>
      <c r="J10" s="121">
        <v>3425.268</v>
      </c>
      <c r="K10" s="121">
        <v>8.0724017463526497E-3</v>
      </c>
      <c r="L10" s="121">
        <v>7.4679491759683302E-5</v>
      </c>
      <c r="M10" s="121">
        <v>0</v>
      </c>
      <c r="N10" s="121">
        <v>8.1470812381123393E-3</v>
      </c>
      <c r="O10" s="121">
        <v>0</v>
      </c>
      <c r="P10" s="121">
        <v>0</v>
      </c>
      <c r="Q10" s="121">
        <v>0</v>
      </c>
      <c r="R10" s="121">
        <v>0</v>
      </c>
      <c r="S10" s="121">
        <v>8.1470812381123393E-3</v>
      </c>
      <c r="T10" s="121">
        <v>9.1898149065987207E-3</v>
      </c>
      <c r="U10" s="121">
        <v>8.5016916669247806E-5</v>
      </c>
      <c r="V10" s="121">
        <v>0</v>
      </c>
      <c r="W10" s="121">
        <v>9.2748318232679702E-3</v>
      </c>
      <c r="X10" s="121">
        <v>0</v>
      </c>
      <c r="Y10" s="121">
        <v>0</v>
      </c>
      <c r="Z10" s="121">
        <v>0</v>
      </c>
      <c r="AA10" s="121">
        <v>0</v>
      </c>
      <c r="AB10" s="121">
        <v>9.2748318232679702E-3</v>
      </c>
      <c r="AC10" s="121">
        <v>2.0949710794398699E-2</v>
      </c>
      <c r="AD10" s="121">
        <v>9.4629071123660696E-4</v>
      </c>
      <c r="AE10" s="121">
        <v>0</v>
      </c>
      <c r="AF10" s="121">
        <v>2.1896001505635299E-2</v>
      </c>
      <c r="AG10" s="121">
        <v>0.111841150321418</v>
      </c>
      <c r="AH10" s="121">
        <v>2.58586516138332E-3</v>
      </c>
      <c r="AI10" s="121">
        <v>4.3922613755857402E-3</v>
      </c>
      <c r="AJ10" s="121">
        <v>0.118819276858387</v>
      </c>
      <c r="AK10" s="121">
        <v>33.4640911187687</v>
      </c>
      <c r="AL10" s="121">
        <v>0.30697853687467302</v>
      </c>
      <c r="AM10" s="121">
        <v>0</v>
      </c>
      <c r="AN10" s="121">
        <v>33.771069655643402</v>
      </c>
      <c r="AO10" s="121">
        <v>3.0653039703734302E-3</v>
      </c>
      <c r="AP10" s="121">
        <v>1.91114451660243E-5</v>
      </c>
      <c r="AQ10" s="121">
        <v>0</v>
      </c>
      <c r="AR10" s="121">
        <v>3.0844154155394601E-3</v>
      </c>
      <c r="AS10" s="121">
        <v>3.32273670467502E-4</v>
      </c>
      <c r="AT10" s="121">
        <v>3.6090458507278501E-3</v>
      </c>
      <c r="AU10" s="121">
        <v>7.02573493673481E-3</v>
      </c>
      <c r="AV10" s="121">
        <v>2.9327002774900798E-3</v>
      </c>
      <c r="AW10" s="121">
        <v>1.8284692507936699E-5</v>
      </c>
      <c r="AX10" s="121">
        <v>0</v>
      </c>
      <c r="AY10" s="121">
        <v>2.9509849699980101E-3</v>
      </c>
      <c r="AZ10" s="121">
        <v>8.30684176168755E-5</v>
      </c>
      <c r="BA10" s="121">
        <v>1.5467339360262201E-3</v>
      </c>
      <c r="BB10" s="121">
        <v>4.5807873236411098E-3</v>
      </c>
      <c r="BC10" s="121">
        <v>3.1615213986822002E-4</v>
      </c>
      <c r="BD10" s="121">
        <v>2.90018100243908E-6</v>
      </c>
      <c r="BE10" s="121">
        <v>0</v>
      </c>
      <c r="BF10" s="121">
        <v>3.1905232087065899E-4</v>
      </c>
      <c r="BG10" s="121">
        <v>5.2600891089634103E-3</v>
      </c>
      <c r="BH10" s="121">
        <v>4.8252751068871801E-5</v>
      </c>
      <c r="BI10" s="121">
        <v>0</v>
      </c>
      <c r="BJ10" s="121">
        <v>5.30834186003228E-3</v>
      </c>
      <c r="BK10" s="122">
        <v>3.00978006893336</v>
      </c>
    </row>
    <row r="11" spans="2:63">
      <c r="B11" s="95" t="s">
        <v>264</v>
      </c>
      <c r="C11" s="106">
        <v>2015</v>
      </c>
      <c r="D11" s="106" t="s">
        <v>144</v>
      </c>
      <c r="E11" s="106" t="s">
        <v>131</v>
      </c>
      <c r="F11" s="106" t="s">
        <v>131</v>
      </c>
      <c r="G11" s="106" t="s">
        <v>146</v>
      </c>
      <c r="H11" s="106">
        <v>2390.1855594971398</v>
      </c>
      <c r="I11" s="115">
        <v>89501.368151650895</v>
      </c>
      <c r="J11" s="115">
        <v>11189.3948538392</v>
      </c>
      <c r="K11" s="115">
        <v>2.9453251871988701E-3</v>
      </c>
      <c r="L11" s="115">
        <v>0</v>
      </c>
      <c r="M11" s="115">
        <v>0</v>
      </c>
      <c r="N11" s="115">
        <v>2.9453251871988701E-3</v>
      </c>
      <c r="O11" s="115">
        <v>0</v>
      </c>
      <c r="P11" s="115">
        <v>0</v>
      </c>
      <c r="Q11" s="115">
        <v>0</v>
      </c>
      <c r="R11" s="115">
        <v>0</v>
      </c>
      <c r="S11" s="115">
        <v>2.9453251871988701E-3</v>
      </c>
      <c r="T11" s="115">
        <v>3.3530569071025399E-3</v>
      </c>
      <c r="U11" s="115">
        <v>0</v>
      </c>
      <c r="V11" s="115">
        <v>0</v>
      </c>
      <c r="W11" s="115">
        <v>3.3530569071025399E-3</v>
      </c>
      <c r="X11" s="115">
        <v>0</v>
      </c>
      <c r="Y11" s="115">
        <v>0</v>
      </c>
      <c r="Z11" s="115">
        <v>0</v>
      </c>
      <c r="AA11" s="115">
        <v>0</v>
      </c>
      <c r="AB11" s="115">
        <v>3.3530569071025399E-3</v>
      </c>
      <c r="AC11" s="115">
        <v>3.00458411814883E-2</v>
      </c>
      <c r="AD11" s="115">
        <v>0</v>
      </c>
      <c r="AE11" s="115">
        <v>0</v>
      </c>
      <c r="AF11" s="115">
        <v>3.00458411814883E-2</v>
      </c>
      <c r="AG11" s="115">
        <v>2.3921173537782899E-2</v>
      </c>
      <c r="AH11" s="115">
        <v>0</v>
      </c>
      <c r="AI11" s="115">
        <v>0</v>
      </c>
      <c r="AJ11" s="115">
        <v>2.3921173537782899E-2</v>
      </c>
      <c r="AK11" s="115">
        <v>23.3851555755354</v>
      </c>
      <c r="AL11" s="115">
        <v>0</v>
      </c>
      <c r="AM11" s="115">
        <v>0</v>
      </c>
      <c r="AN11" s="115">
        <v>23.3851555755354</v>
      </c>
      <c r="AO11" s="115">
        <v>1.85161790098219E-3</v>
      </c>
      <c r="AP11" s="115">
        <v>0</v>
      </c>
      <c r="AQ11" s="115">
        <v>0</v>
      </c>
      <c r="AR11" s="115">
        <v>1.85161790098219E-3</v>
      </c>
      <c r="AS11" s="115">
        <v>7.8926696365417995E-4</v>
      </c>
      <c r="AT11" s="115">
        <v>3.6256951142863902E-3</v>
      </c>
      <c r="AU11" s="115">
        <v>6.2665799789227601E-3</v>
      </c>
      <c r="AV11" s="115">
        <v>1.77151773021535E-3</v>
      </c>
      <c r="AW11" s="115">
        <v>0</v>
      </c>
      <c r="AX11" s="115">
        <v>0</v>
      </c>
      <c r="AY11" s="115">
        <v>1.77151773021535E-3</v>
      </c>
      <c r="AZ11" s="115">
        <v>1.9731674091354499E-4</v>
      </c>
      <c r="BA11" s="115">
        <v>1.55386933469416E-3</v>
      </c>
      <c r="BB11" s="115">
        <v>3.52270380582307E-3</v>
      </c>
      <c r="BC11" s="115">
        <v>2.2107381848391E-4</v>
      </c>
      <c r="BD11" s="115">
        <v>0</v>
      </c>
      <c r="BE11" s="115">
        <v>0</v>
      </c>
      <c r="BF11" s="115">
        <v>2.2107381848391E-4</v>
      </c>
      <c r="BG11" s="115">
        <v>3.6758207990086E-3</v>
      </c>
      <c r="BH11" s="115">
        <v>0</v>
      </c>
      <c r="BI11" s="115">
        <v>0</v>
      </c>
      <c r="BJ11" s="115">
        <v>3.6758207990086E-3</v>
      </c>
      <c r="BK11" s="117">
        <v>2.0841559322178802</v>
      </c>
    </row>
    <row r="12" spans="2:63">
      <c r="B12" s="95" t="s">
        <v>264</v>
      </c>
      <c r="C12" s="106">
        <v>2015</v>
      </c>
      <c r="D12" s="106" t="s">
        <v>143</v>
      </c>
      <c r="E12" s="106" t="s">
        <v>131</v>
      </c>
      <c r="F12" s="106" t="s">
        <v>131</v>
      </c>
      <c r="G12" s="106" t="s">
        <v>146</v>
      </c>
      <c r="H12" s="106">
        <v>24.343073807736602</v>
      </c>
      <c r="I12" s="115">
        <v>478.90588864496902</v>
      </c>
      <c r="J12" s="115">
        <v>83.848386468900102</v>
      </c>
      <c r="K12" s="115">
        <v>1.60140719287951E-4</v>
      </c>
      <c r="L12" s="115">
        <v>0</v>
      </c>
      <c r="M12" s="115">
        <v>0</v>
      </c>
      <c r="N12" s="115">
        <v>1.60140719287951E-4</v>
      </c>
      <c r="O12" s="115">
        <v>0</v>
      </c>
      <c r="P12" s="115">
        <v>0</v>
      </c>
      <c r="Q12" s="115">
        <v>0</v>
      </c>
      <c r="R12" s="115">
        <v>0</v>
      </c>
      <c r="S12" s="115">
        <v>1.60140719287951E-4</v>
      </c>
      <c r="T12" s="115">
        <v>1.82309562030909E-4</v>
      </c>
      <c r="U12" s="115">
        <v>0</v>
      </c>
      <c r="V12" s="115">
        <v>0</v>
      </c>
      <c r="W12" s="115">
        <v>1.82309562030909E-4</v>
      </c>
      <c r="X12" s="115">
        <v>0</v>
      </c>
      <c r="Y12" s="115">
        <v>0</v>
      </c>
      <c r="Z12" s="115">
        <v>0</v>
      </c>
      <c r="AA12" s="115">
        <v>0</v>
      </c>
      <c r="AB12" s="115">
        <v>1.82309562030909E-4</v>
      </c>
      <c r="AC12" s="115">
        <v>8.3100500937896701E-4</v>
      </c>
      <c r="AD12" s="115">
        <v>0</v>
      </c>
      <c r="AE12" s="115">
        <v>0</v>
      </c>
      <c r="AF12" s="115">
        <v>8.3100500937896701E-4</v>
      </c>
      <c r="AG12" s="115">
        <v>8.4403996174601203E-4</v>
      </c>
      <c r="AH12" s="115">
        <v>0</v>
      </c>
      <c r="AI12" s="115">
        <v>0</v>
      </c>
      <c r="AJ12" s="115">
        <v>8.4403996174601203E-4</v>
      </c>
      <c r="AK12" s="115">
        <v>0.229860160800512</v>
      </c>
      <c r="AL12" s="115">
        <v>0</v>
      </c>
      <c r="AM12" s="115">
        <v>0</v>
      </c>
      <c r="AN12" s="115">
        <v>0.229860160800512</v>
      </c>
      <c r="AO12" s="115">
        <v>1.25220700787756E-4</v>
      </c>
      <c r="AP12" s="115">
        <v>0</v>
      </c>
      <c r="AQ12" s="115">
        <v>0</v>
      </c>
      <c r="AR12" s="115">
        <v>1.25220700787756E-4</v>
      </c>
      <c r="AS12" s="115">
        <v>4.2232270233731501E-6</v>
      </c>
      <c r="AT12" s="115">
        <v>1.94004491386204E-5</v>
      </c>
      <c r="AU12" s="115">
        <v>1.4884437694975001E-4</v>
      </c>
      <c r="AV12" s="115">
        <v>1.19803708701364E-4</v>
      </c>
      <c r="AW12" s="115">
        <v>0</v>
      </c>
      <c r="AX12" s="115">
        <v>0</v>
      </c>
      <c r="AY12" s="115">
        <v>1.19803708701364E-4</v>
      </c>
      <c r="AZ12" s="115">
        <v>1.0558067558432799E-6</v>
      </c>
      <c r="BA12" s="115">
        <v>8.3144782022659007E-6</v>
      </c>
      <c r="BB12" s="115">
        <v>1.2917399365947399E-4</v>
      </c>
      <c r="BC12" s="115">
        <v>2.1730051485591398E-6</v>
      </c>
      <c r="BD12" s="115">
        <v>0</v>
      </c>
      <c r="BE12" s="115">
        <v>0</v>
      </c>
      <c r="BF12" s="115">
        <v>2.1730051485591398E-6</v>
      </c>
      <c r="BG12" s="115">
        <v>3.6130816286632202E-5</v>
      </c>
      <c r="BH12" s="115">
        <v>0</v>
      </c>
      <c r="BI12" s="115">
        <v>0</v>
      </c>
      <c r="BJ12" s="115">
        <v>3.6130816286632202E-5</v>
      </c>
      <c r="BK12" s="117">
        <v>2.0485834108117801E-2</v>
      </c>
    </row>
    <row r="13" spans="2:63">
      <c r="B13" s="95" t="s">
        <v>264</v>
      </c>
      <c r="C13" s="106">
        <v>2015</v>
      </c>
      <c r="D13" s="106" t="s">
        <v>142</v>
      </c>
      <c r="E13" s="106" t="s">
        <v>131</v>
      </c>
      <c r="F13" s="106" t="s">
        <v>131</v>
      </c>
      <c r="G13" s="106" t="s">
        <v>146</v>
      </c>
      <c r="H13" s="106">
        <v>346.12808070375598</v>
      </c>
      <c r="I13" s="115">
        <v>15622.8984616826</v>
      </c>
      <c r="J13" s="115">
        <v>1726.1074417089801</v>
      </c>
      <c r="K13" s="115">
        <v>3.8233108745912297E-4</v>
      </c>
      <c r="L13" s="115">
        <v>0</v>
      </c>
      <c r="M13" s="115">
        <v>0</v>
      </c>
      <c r="N13" s="115">
        <v>3.8233108745912297E-4</v>
      </c>
      <c r="O13" s="115">
        <v>0</v>
      </c>
      <c r="P13" s="115">
        <v>0</v>
      </c>
      <c r="Q13" s="115">
        <v>0</v>
      </c>
      <c r="R13" s="115">
        <v>0</v>
      </c>
      <c r="S13" s="115">
        <v>3.8233108745912297E-4</v>
      </c>
      <c r="T13" s="115">
        <v>4.3525852397441101E-4</v>
      </c>
      <c r="U13" s="115">
        <v>0</v>
      </c>
      <c r="V13" s="115">
        <v>0</v>
      </c>
      <c r="W13" s="115">
        <v>4.3525852397441101E-4</v>
      </c>
      <c r="X13" s="115">
        <v>0</v>
      </c>
      <c r="Y13" s="115">
        <v>0</v>
      </c>
      <c r="Z13" s="115">
        <v>0</v>
      </c>
      <c r="AA13" s="115">
        <v>0</v>
      </c>
      <c r="AB13" s="115">
        <v>4.3525852397441101E-4</v>
      </c>
      <c r="AC13" s="115">
        <v>2.5246143872112701E-3</v>
      </c>
      <c r="AD13" s="115">
        <v>0</v>
      </c>
      <c r="AE13" s="115">
        <v>0</v>
      </c>
      <c r="AF13" s="115">
        <v>2.5246143872112701E-3</v>
      </c>
      <c r="AG13" s="115">
        <v>1.6986809501998001E-3</v>
      </c>
      <c r="AH13" s="115">
        <v>0</v>
      </c>
      <c r="AI13" s="115">
        <v>0</v>
      </c>
      <c r="AJ13" s="115">
        <v>1.6986809501998001E-3</v>
      </c>
      <c r="AK13" s="115">
        <v>5.6156165945421499</v>
      </c>
      <c r="AL13" s="115">
        <v>0</v>
      </c>
      <c r="AM13" s="115">
        <v>0</v>
      </c>
      <c r="AN13" s="115">
        <v>5.6156165945421499</v>
      </c>
      <c r="AO13" s="115">
        <v>1.9743220280276001E-4</v>
      </c>
      <c r="AP13" s="115">
        <v>0</v>
      </c>
      <c r="AQ13" s="115">
        <v>0</v>
      </c>
      <c r="AR13" s="115">
        <v>1.9743220280276001E-4</v>
      </c>
      <c r="AS13" s="115">
        <v>1.3777038146988699E-4</v>
      </c>
      <c r="AT13" s="115">
        <v>6.32882689877296E-4</v>
      </c>
      <c r="AU13" s="115">
        <v>9.68085274149944E-4</v>
      </c>
      <c r="AV13" s="115">
        <v>1.8889137310404899E-4</v>
      </c>
      <c r="AW13" s="115">
        <v>0</v>
      </c>
      <c r="AX13" s="115">
        <v>0</v>
      </c>
      <c r="AY13" s="115">
        <v>1.8889137310404899E-4</v>
      </c>
      <c r="AZ13" s="115">
        <v>3.4442595367471903E-5</v>
      </c>
      <c r="BA13" s="115">
        <v>2.7123543851884102E-4</v>
      </c>
      <c r="BB13" s="115">
        <v>4.9456940699036203E-4</v>
      </c>
      <c r="BC13" s="115">
        <v>5.3087771842570701E-5</v>
      </c>
      <c r="BD13" s="115">
        <v>0</v>
      </c>
      <c r="BE13" s="115">
        <v>0</v>
      </c>
      <c r="BF13" s="115">
        <v>5.3087771842570701E-5</v>
      </c>
      <c r="BG13" s="115">
        <v>8.8269672659653596E-4</v>
      </c>
      <c r="BH13" s="115">
        <v>0</v>
      </c>
      <c r="BI13" s="115">
        <v>0</v>
      </c>
      <c r="BJ13" s="115">
        <v>8.8269672659653596E-4</v>
      </c>
      <c r="BK13" s="117">
        <v>0.50048076869842395</v>
      </c>
    </row>
    <row r="14" spans="2:63">
      <c r="B14" s="95" t="s">
        <v>264</v>
      </c>
      <c r="C14" s="106">
        <v>2015</v>
      </c>
      <c r="D14" s="106" t="s">
        <v>141</v>
      </c>
      <c r="E14" s="106" t="s">
        <v>131</v>
      </c>
      <c r="F14" s="106" t="s">
        <v>131</v>
      </c>
      <c r="G14" s="106" t="s">
        <v>146</v>
      </c>
      <c r="H14" s="106">
        <v>2811.62502479358</v>
      </c>
      <c r="I14" s="115">
        <v>105737.36195745099</v>
      </c>
      <c r="J14" s="115">
        <v>35366.705787622101</v>
      </c>
      <c r="K14" s="115">
        <v>2.57907318329769E-2</v>
      </c>
      <c r="L14" s="115">
        <v>3.4017662684585699E-4</v>
      </c>
      <c r="M14" s="115">
        <v>0</v>
      </c>
      <c r="N14" s="115">
        <v>2.6130908459822699E-2</v>
      </c>
      <c r="O14" s="115">
        <v>0</v>
      </c>
      <c r="P14" s="115">
        <v>0</v>
      </c>
      <c r="Q14" s="115">
        <v>0</v>
      </c>
      <c r="R14" s="115">
        <v>0</v>
      </c>
      <c r="S14" s="115">
        <v>2.6130908459822699E-2</v>
      </c>
      <c r="T14" s="115">
        <v>2.93610335074873E-2</v>
      </c>
      <c r="U14" s="115">
        <v>3.8726847318517498E-4</v>
      </c>
      <c r="V14" s="115">
        <v>0</v>
      </c>
      <c r="W14" s="115">
        <v>2.9748301980672499E-2</v>
      </c>
      <c r="X14" s="115">
        <v>0</v>
      </c>
      <c r="Y14" s="115">
        <v>0</v>
      </c>
      <c r="Z14" s="115">
        <v>0</v>
      </c>
      <c r="AA14" s="115">
        <v>0</v>
      </c>
      <c r="AB14" s="115">
        <v>2.9748301980672499E-2</v>
      </c>
      <c r="AC14" s="115">
        <v>0.11595531055843999</v>
      </c>
      <c r="AD14" s="115">
        <v>2.8195594299289398E-3</v>
      </c>
      <c r="AE14" s="115">
        <v>0</v>
      </c>
      <c r="AF14" s="115">
        <v>0.118774869988369</v>
      </c>
      <c r="AG14" s="115">
        <v>0.51592277432366695</v>
      </c>
      <c r="AH14" s="115">
        <v>8.0460363032546292E-3</v>
      </c>
      <c r="AI14" s="115">
        <v>0</v>
      </c>
      <c r="AJ14" s="115">
        <v>0.52396881062692102</v>
      </c>
      <c r="AK14" s="115">
        <v>69.875287446751202</v>
      </c>
      <c r="AL14" s="115">
        <v>0.44278574703571499</v>
      </c>
      <c r="AM14" s="115">
        <v>0</v>
      </c>
      <c r="AN14" s="115">
        <v>70.318073193786901</v>
      </c>
      <c r="AO14" s="115">
        <v>5.1797818381275401E-3</v>
      </c>
      <c r="AP14" s="115">
        <v>9.4012159154131897E-5</v>
      </c>
      <c r="AQ14" s="115">
        <v>0</v>
      </c>
      <c r="AR14" s="115">
        <v>5.2737939972816701E-3</v>
      </c>
      <c r="AS14" s="115">
        <v>1.3986658808760499E-3</v>
      </c>
      <c r="AT14" s="115">
        <v>8.90950166118047E-3</v>
      </c>
      <c r="AU14" s="115">
        <v>1.5581961539338199E-2</v>
      </c>
      <c r="AV14" s="115">
        <v>4.95570676867132E-3</v>
      </c>
      <c r="AW14" s="115">
        <v>8.9945234764164401E-5</v>
      </c>
      <c r="AX14" s="115">
        <v>0</v>
      </c>
      <c r="AY14" s="115">
        <v>5.0456520034354796E-3</v>
      </c>
      <c r="AZ14" s="115">
        <v>3.49666470219014E-4</v>
      </c>
      <c r="BA14" s="115">
        <v>3.8183578547916299E-3</v>
      </c>
      <c r="BB14" s="115">
        <v>9.2136763284461302E-3</v>
      </c>
      <c r="BC14" s="115">
        <v>6.6057275366920203E-4</v>
      </c>
      <c r="BD14" s="115">
        <v>4.1859176669255499E-6</v>
      </c>
      <c r="BE14" s="115">
        <v>0</v>
      </c>
      <c r="BF14" s="115">
        <v>6.6475867133612698E-4</v>
      </c>
      <c r="BG14" s="115">
        <v>1.0983422115958701E-2</v>
      </c>
      <c r="BH14" s="115">
        <v>6.9599753279433698E-5</v>
      </c>
      <c r="BI14" s="115">
        <v>0</v>
      </c>
      <c r="BJ14" s="115">
        <v>1.10530218692382E-2</v>
      </c>
      <c r="BK14" s="117">
        <v>6.2669597777780304</v>
      </c>
    </row>
    <row r="15" spans="2:63">
      <c r="B15" s="95" t="s">
        <v>264</v>
      </c>
      <c r="C15" s="106">
        <v>2015</v>
      </c>
      <c r="D15" s="106" t="s">
        <v>140</v>
      </c>
      <c r="E15" s="106" t="s">
        <v>131</v>
      </c>
      <c r="F15" s="106" t="s">
        <v>131</v>
      </c>
      <c r="G15" s="106" t="s">
        <v>146</v>
      </c>
      <c r="H15" s="106">
        <v>980.56944181789299</v>
      </c>
      <c r="I15" s="115">
        <v>40060.938353268997</v>
      </c>
      <c r="J15" s="115">
        <v>12334.330021711199</v>
      </c>
      <c r="K15" s="115">
        <v>8.2502000533800097E-3</v>
      </c>
      <c r="L15" s="115">
        <v>1.18638439395105E-4</v>
      </c>
      <c r="M15" s="115">
        <v>0</v>
      </c>
      <c r="N15" s="115">
        <v>8.3688384927751106E-3</v>
      </c>
      <c r="O15" s="115">
        <v>0</v>
      </c>
      <c r="P15" s="115">
        <v>0</v>
      </c>
      <c r="Q15" s="115">
        <v>0</v>
      </c>
      <c r="R15" s="115">
        <v>0</v>
      </c>
      <c r="S15" s="115">
        <v>8.3688384927751106E-3</v>
      </c>
      <c r="T15" s="115">
        <v>9.3923042502049303E-3</v>
      </c>
      <c r="U15" s="115">
        <v>1.3506197563195E-4</v>
      </c>
      <c r="V15" s="115">
        <v>0</v>
      </c>
      <c r="W15" s="115">
        <v>9.5273662258368794E-3</v>
      </c>
      <c r="X15" s="115">
        <v>0</v>
      </c>
      <c r="Y15" s="115">
        <v>0</v>
      </c>
      <c r="Z15" s="115">
        <v>0</v>
      </c>
      <c r="AA15" s="115">
        <v>0</v>
      </c>
      <c r="AB15" s="115">
        <v>9.5273662258368794E-3</v>
      </c>
      <c r="AC15" s="115">
        <v>3.5784266431853499E-2</v>
      </c>
      <c r="AD15" s="115">
        <v>9.8333660854394008E-4</v>
      </c>
      <c r="AE15" s="115">
        <v>0</v>
      </c>
      <c r="AF15" s="115">
        <v>3.6767603040397397E-2</v>
      </c>
      <c r="AG15" s="115">
        <v>0.14045110902330099</v>
      </c>
      <c r="AH15" s="115">
        <v>2.8060986999175301E-3</v>
      </c>
      <c r="AI15" s="115">
        <v>0</v>
      </c>
      <c r="AJ15" s="115">
        <v>0.14325720772321801</v>
      </c>
      <c r="AK15" s="115">
        <v>29.598270359883202</v>
      </c>
      <c r="AL15" s="115">
        <v>0.24520610177628799</v>
      </c>
      <c r="AM15" s="115">
        <v>0</v>
      </c>
      <c r="AN15" s="115">
        <v>29.843476461659499</v>
      </c>
      <c r="AO15" s="115">
        <v>1.56388619910792E-3</v>
      </c>
      <c r="AP15" s="115">
        <v>3.1823356262596298E-5</v>
      </c>
      <c r="AQ15" s="115">
        <v>0</v>
      </c>
      <c r="AR15" s="115">
        <v>1.5957095553705101E-3</v>
      </c>
      <c r="AS15" s="115">
        <v>5.2991550567663603E-4</v>
      </c>
      <c r="AT15" s="115">
        <v>3.93815539968687E-3</v>
      </c>
      <c r="AU15" s="115">
        <v>6.0637804607340199E-3</v>
      </c>
      <c r="AV15" s="115">
        <v>1.4962331743980199E-3</v>
      </c>
      <c r="AW15" s="115">
        <v>3.04466919574739E-5</v>
      </c>
      <c r="AX15" s="115">
        <v>0</v>
      </c>
      <c r="AY15" s="115">
        <v>1.5266798663554899E-3</v>
      </c>
      <c r="AZ15" s="115">
        <v>1.3247887641915901E-4</v>
      </c>
      <c r="BA15" s="115">
        <v>1.68778088558008E-3</v>
      </c>
      <c r="BB15" s="115">
        <v>3.3469396283547399E-3</v>
      </c>
      <c r="BC15" s="115">
        <v>2.7981009695842899E-4</v>
      </c>
      <c r="BD15" s="115">
        <v>2.3180794782459798E-6</v>
      </c>
      <c r="BE15" s="115">
        <v>0</v>
      </c>
      <c r="BF15" s="115">
        <v>2.8212817643667498E-4</v>
      </c>
      <c r="BG15" s="115">
        <v>4.6524359203903697E-3</v>
      </c>
      <c r="BH15" s="115">
        <v>3.85429845032134E-5</v>
      </c>
      <c r="BI15" s="115">
        <v>0</v>
      </c>
      <c r="BJ15" s="115">
        <v>4.6909789048935804E-3</v>
      </c>
      <c r="BK15" s="117">
        <v>2.6597410611474301</v>
      </c>
    </row>
    <row r="16" spans="2:63">
      <c r="B16" s="95" t="s">
        <v>264</v>
      </c>
      <c r="C16" s="106">
        <v>2015</v>
      </c>
      <c r="D16" s="106" t="s">
        <v>138</v>
      </c>
      <c r="E16" s="106" t="s">
        <v>131</v>
      </c>
      <c r="F16" s="106" t="s">
        <v>131</v>
      </c>
      <c r="G16" s="106" t="s">
        <v>146</v>
      </c>
      <c r="H16" s="106">
        <v>769.08898811317999</v>
      </c>
      <c r="I16" s="115">
        <v>34758.251636524597</v>
      </c>
      <c r="J16" s="115">
        <v>3823.39003201677</v>
      </c>
      <c r="K16" s="115">
        <v>5.2206089613739896E-4</v>
      </c>
      <c r="L16" s="115">
        <v>0</v>
      </c>
      <c r="M16" s="115">
        <v>0</v>
      </c>
      <c r="N16" s="115">
        <v>5.2206089613739896E-4</v>
      </c>
      <c r="O16" s="115">
        <v>0</v>
      </c>
      <c r="P16" s="115">
        <v>0</v>
      </c>
      <c r="Q16" s="115">
        <v>0</v>
      </c>
      <c r="R16" s="115">
        <v>0</v>
      </c>
      <c r="S16" s="115">
        <v>5.2206089613739896E-4</v>
      </c>
      <c r="T16" s="115">
        <v>5.9433162128574597E-4</v>
      </c>
      <c r="U16" s="115">
        <v>0</v>
      </c>
      <c r="V16" s="115">
        <v>0</v>
      </c>
      <c r="W16" s="115">
        <v>5.9433162128574597E-4</v>
      </c>
      <c r="X16" s="115">
        <v>0</v>
      </c>
      <c r="Y16" s="115">
        <v>0</v>
      </c>
      <c r="Z16" s="115">
        <v>0</v>
      </c>
      <c r="AA16" s="115">
        <v>0</v>
      </c>
      <c r="AB16" s="115">
        <v>5.9433162128574597E-4</v>
      </c>
      <c r="AC16" s="115">
        <v>7.2798743190657898E-3</v>
      </c>
      <c r="AD16" s="115">
        <v>0</v>
      </c>
      <c r="AE16" s="115">
        <v>0</v>
      </c>
      <c r="AF16" s="115">
        <v>7.2798743190657898E-3</v>
      </c>
      <c r="AG16" s="115">
        <v>3.3400288120522099E-3</v>
      </c>
      <c r="AH16" s="115">
        <v>0</v>
      </c>
      <c r="AI16" s="115">
        <v>0</v>
      </c>
      <c r="AJ16" s="115">
        <v>3.3400288120522099E-3</v>
      </c>
      <c r="AK16" s="115">
        <v>16.446666658268601</v>
      </c>
      <c r="AL16" s="115">
        <v>0</v>
      </c>
      <c r="AM16" s="115">
        <v>0</v>
      </c>
      <c r="AN16" s="115">
        <v>16.446666658268601</v>
      </c>
      <c r="AO16" s="115">
        <v>2.6920125114577703E-4</v>
      </c>
      <c r="AP16" s="115">
        <v>0</v>
      </c>
      <c r="AQ16" s="115">
        <v>0</v>
      </c>
      <c r="AR16" s="115">
        <v>2.6920125114577703E-4</v>
      </c>
      <c r="AS16" s="115">
        <v>3.0651531141517798E-4</v>
      </c>
      <c r="AT16" s="115">
        <v>1.4080547118134701E-3</v>
      </c>
      <c r="AU16" s="115">
        <v>1.9837712743744299E-3</v>
      </c>
      <c r="AV16" s="115">
        <v>2.5755572418474301E-4</v>
      </c>
      <c r="AW16" s="115">
        <v>0</v>
      </c>
      <c r="AX16" s="115">
        <v>0</v>
      </c>
      <c r="AY16" s="115">
        <v>2.5755572418474301E-4</v>
      </c>
      <c r="AZ16" s="115">
        <v>7.6628827853794494E-5</v>
      </c>
      <c r="BA16" s="115">
        <v>6.0345201934863097E-4</v>
      </c>
      <c r="BB16" s="115">
        <v>9.3763657138716896E-4</v>
      </c>
      <c r="BC16" s="115">
        <v>1.5548014584428101E-4</v>
      </c>
      <c r="BD16" s="115">
        <v>0</v>
      </c>
      <c r="BE16" s="115">
        <v>0</v>
      </c>
      <c r="BF16" s="115">
        <v>1.5548014584428101E-4</v>
      </c>
      <c r="BG16" s="115">
        <v>2.5851869653615001E-3</v>
      </c>
      <c r="BH16" s="115">
        <v>0</v>
      </c>
      <c r="BI16" s="115">
        <v>0</v>
      </c>
      <c r="BJ16" s="115">
        <v>2.5851869653615001E-3</v>
      </c>
      <c r="BK16" s="117">
        <v>1.46577677323217</v>
      </c>
    </row>
    <row r="17" spans="2:63">
      <c r="B17" s="95" t="s">
        <v>264</v>
      </c>
      <c r="C17" s="106">
        <v>2015</v>
      </c>
      <c r="D17" s="106" t="s">
        <v>137</v>
      </c>
      <c r="E17" s="106" t="s">
        <v>131</v>
      </c>
      <c r="F17" s="106" t="s">
        <v>131</v>
      </c>
      <c r="G17" s="106" t="s">
        <v>146</v>
      </c>
      <c r="H17" s="106">
        <v>204.633964196286</v>
      </c>
      <c r="I17" s="115">
        <v>2305.4098653920901</v>
      </c>
      <c r="J17" s="115">
        <v>20.463396419628602</v>
      </c>
      <c r="K17" s="115">
        <v>3.2491290675724601E-4</v>
      </c>
      <c r="L17" s="115">
        <v>0</v>
      </c>
      <c r="M17" s="115">
        <v>0</v>
      </c>
      <c r="N17" s="115">
        <v>3.2491290675724601E-4</v>
      </c>
      <c r="O17" s="115">
        <v>0</v>
      </c>
      <c r="P17" s="115">
        <v>0</v>
      </c>
      <c r="Q17" s="115">
        <v>0</v>
      </c>
      <c r="R17" s="115">
        <v>0</v>
      </c>
      <c r="S17" s="115">
        <v>3.2491290675724601E-4</v>
      </c>
      <c r="T17" s="115">
        <v>3.69891742665353E-4</v>
      </c>
      <c r="U17" s="115">
        <v>0</v>
      </c>
      <c r="V17" s="115">
        <v>0</v>
      </c>
      <c r="W17" s="115">
        <v>3.69891742665353E-4</v>
      </c>
      <c r="X17" s="115">
        <v>0</v>
      </c>
      <c r="Y17" s="115">
        <v>0</v>
      </c>
      <c r="Z17" s="115">
        <v>0</v>
      </c>
      <c r="AA17" s="115">
        <v>0</v>
      </c>
      <c r="AB17" s="115">
        <v>3.69891742665353E-4</v>
      </c>
      <c r="AC17" s="115">
        <v>1.2087290829532599E-3</v>
      </c>
      <c r="AD17" s="115">
        <v>0</v>
      </c>
      <c r="AE17" s="115">
        <v>0</v>
      </c>
      <c r="AF17" s="115">
        <v>1.2087290829532599E-3</v>
      </c>
      <c r="AG17" s="115">
        <v>1.3236921025550999E-2</v>
      </c>
      <c r="AH17" s="115">
        <v>0</v>
      </c>
      <c r="AI17" s="115">
        <v>0</v>
      </c>
      <c r="AJ17" s="115">
        <v>1.3236921025550999E-2</v>
      </c>
      <c r="AK17" s="115">
        <v>2.71999004605432</v>
      </c>
      <c r="AL17" s="115">
        <v>0</v>
      </c>
      <c r="AM17" s="115">
        <v>0</v>
      </c>
      <c r="AN17" s="115">
        <v>2.71999004605432</v>
      </c>
      <c r="AO17" s="115">
        <v>3.5280079152998198E-4</v>
      </c>
      <c r="AP17" s="115">
        <v>0</v>
      </c>
      <c r="AQ17" s="115">
        <v>0</v>
      </c>
      <c r="AR17" s="115">
        <v>3.5280079152998198E-4</v>
      </c>
      <c r="AS17" s="115">
        <v>4.0660469935013897E-5</v>
      </c>
      <c r="AT17" s="115">
        <v>3.3123035320810698E-4</v>
      </c>
      <c r="AU17" s="115">
        <v>7.2469161467310405E-4</v>
      </c>
      <c r="AV17" s="115">
        <v>3.3753878545775902E-4</v>
      </c>
      <c r="AW17" s="115">
        <v>0</v>
      </c>
      <c r="AX17" s="115">
        <v>0</v>
      </c>
      <c r="AY17" s="115">
        <v>3.3753878545775902E-4</v>
      </c>
      <c r="AZ17" s="115">
        <v>1.01651174837534E-5</v>
      </c>
      <c r="BA17" s="115">
        <v>1.4195586566061701E-4</v>
      </c>
      <c r="BB17" s="115">
        <v>4.8965976860213E-4</v>
      </c>
      <c r="BC17" s="115">
        <v>2.5713687633044E-5</v>
      </c>
      <c r="BD17" s="115">
        <v>0</v>
      </c>
      <c r="BE17" s="115">
        <v>0</v>
      </c>
      <c r="BF17" s="115">
        <v>2.5713687633044E-5</v>
      </c>
      <c r="BG17" s="115">
        <v>4.2754455714814801E-4</v>
      </c>
      <c r="BH17" s="115">
        <v>0</v>
      </c>
      <c r="BI17" s="115">
        <v>0</v>
      </c>
      <c r="BJ17" s="115">
        <v>4.2754455714814801E-4</v>
      </c>
      <c r="BK17" s="117">
        <v>0.24241375567277601</v>
      </c>
    </row>
    <row r="18" spans="2:63">
      <c r="B18" s="95" t="s">
        <v>264</v>
      </c>
      <c r="C18" s="106">
        <v>2015</v>
      </c>
      <c r="D18" s="106" t="s">
        <v>173</v>
      </c>
      <c r="E18" s="106" t="s">
        <v>131</v>
      </c>
      <c r="F18" s="106" t="s">
        <v>131</v>
      </c>
      <c r="G18" s="106" t="s">
        <v>146</v>
      </c>
      <c r="H18" s="106">
        <v>71.03</v>
      </c>
      <c r="I18" s="115">
        <v>8080.5809712732798</v>
      </c>
      <c r="J18" s="115">
        <v>1037.038</v>
      </c>
      <c r="K18" s="115">
        <v>5.11139741760952E-3</v>
      </c>
      <c r="L18" s="115">
        <v>7.4844656376103996E-4</v>
      </c>
      <c r="M18" s="115">
        <v>0</v>
      </c>
      <c r="N18" s="115">
        <v>5.8598439813705699E-3</v>
      </c>
      <c r="O18" s="115">
        <v>0</v>
      </c>
      <c r="P18" s="115">
        <v>0</v>
      </c>
      <c r="Q18" s="115">
        <v>0</v>
      </c>
      <c r="R18" s="115">
        <v>0</v>
      </c>
      <c r="S18" s="115">
        <v>5.8598439813705699E-3</v>
      </c>
      <c r="T18" s="115">
        <v>5.8189368737899998E-3</v>
      </c>
      <c r="U18" s="115">
        <v>8.5204944012499397E-4</v>
      </c>
      <c r="V18" s="115">
        <v>0</v>
      </c>
      <c r="W18" s="115">
        <v>6.6709863139149898E-3</v>
      </c>
      <c r="X18" s="115">
        <v>0</v>
      </c>
      <c r="Y18" s="115">
        <v>0</v>
      </c>
      <c r="Z18" s="115">
        <v>0</v>
      </c>
      <c r="AA18" s="115">
        <v>0</v>
      </c>
      <c r="AB18" s="115">
        <v>6.6709863139149898E-3</v>
      </c>
      <c r="AC18" s="115">
        <v>1.5725797635791999E-2</v>
      </c>
      <c r="AD18" s="115">
        <v>4.4669267491400898E-3</v>
      </c>
      <c r="AE18" s="115">
        <v>0</v>
      </c>
      <c r="AF18" s="115">
        <v>2.0192724384932099E-2</v>
      </c>
      <c r="AG18" s="115">
        <v>8.2694347384472899E-2</v>
      </c>
      <c r="AH18" s="115">
        <v>1.05153406479801E-2</v>
      </c>
      <c r="AI18" s="115">
        <v>8.1355029898375997E-4</v>
      </c>
      <c r="AJ18" s="115">
        <v>9.4023238331436804E-2</v>
      </c>
      <c r="AK18" s="115">
        <v>14.8768878427627</v>
      </c>
      <c r="AL18" s="115">
        <v>0.91438771034382405</v>
      </c>
      <c r="AM18" s="115">
        <v>0</v>
      </c>
      <c r="AN18" s="115">
        <v>15.791275553106599</v>
      </c>
      <c r="AO18" s="115">
        <v>2.44070923100191E-3</v>
      </c>
      <c r="AP18" s="115">
        <v>8.7494576799321996E-5</v>
      </c>
      <c r="AQ18" s="115">
        <v>0</v>
      </c>
      <c r="AR18" s="115">
        <v>2.5282038078012301E-3</v>
      </c>
      <c r="AS18" s="115">
        <v>1.06887789641699E-4</v>
      </c>
      <c r="AT18" s="115">
        <v>1.1609795418249199E-3</v>
      </c>
      <c r="AU18" s="115">
        <v>3.7960711392678501E-3</v>
      </c>
      <c r="AV18" s="115">
        <v>2.3351252300631998E-3</v>
      </c>
      <c r="AW18" s="115">
        <v>8.3709600136977095E-5</v>
      </c>
      <c r="AX18" s="115">
        <v>0</v>
      </c>
      <c r="AY18" s="115">
        <v>2.4188348302001698E-3</v>
      </c>
      <c r="AZ18" s="115">
        <v>2.67219474104247E-5</v>
      </c>
      <c r="BA18" s="115">
        <v>4.9756266078210905E-4</v>
      </c>
      <c r="BB18" s="115">
        <v>2.9431194383927098E-3</v>
      </c>
      <c r="BC18" s="115">
        <v>1.4054945969923599E-4</v>
      </c>
      <c r="BD18" s="115">
        <v>8.6386816922174004E-6</v>
      </c>
      <c r="BE18" s="115">
        <v>0</v>
      </c>
      <c r="BF18" s="115">
        <v>1.4918814139145301E-4</v>
      </c>
      <c r="BG18" s="115">
        <v>2.33843959602109E-3</v>
      </c>
      <c r="BH18" s="115">
        <v>1.4372901446744801E-4</v>
      </c>
      <c r="BI18" s="115">
        <v>0</v>
      </c>
      <c r="BJ18" s="115">
        <v>2.4821686104885398E-3</v>
      </c>
      <c r="BK18" s="117">
        <v>1.4073663318162799</v>
      </c>
    </row>
    <row r="19" spans="2:63">
      <c r="B19" s="95" t="s">
        <v>264</v>
      </c>
      <c r="C19" s="106">
        <v>2015</v>
      </c>
      <c r="D19" s="106" t="s">
        <v>172</v>
      </c>
      <c r="E19" s="106" t="s">
        <v>131</v>
      </c>
      <c r="F19" s="106" t="s">
        <v>131</v>
      </c>
      <c r="G19" s="106" t="s">
        <v>146</v>
      </c>
      <c r="H19" s="106">
        <v>0</v>
      </c>
      <c r="I19" s="115">
        <v>3236.2393993353999</v>
      </c>
      <c r="J19" s="115">
        <v>0</v>
      </c>
      <c r="K19" s="115">
        <v>3.7412640242418201E-3</v>
      </c>
      <c r="L19" s="115">
        <v>0</v>
      </c>
      <c r="M19" s="115">
        <v>0</v>
      </c>
      <c r="N19" s="115">
        <v>3.7412640242418201E-3</v>
      </c>
      <c r="O19" s="115">
        <v>0</v>
      </c>
      <c r="P19" s="115">
        <v>0</v>
      </c>
      <c r="Q19" s="115">
        <v>0</v>
      </c>
      <c r="R19" s="115">
        <v>0</v>
      </c>
      <c r="S19" s="115">
        <v>3.7412640242418201E-3</v>
      </c>
      <c r="T19" s="115">
        <v>4.2591443017604399E-3</v>
      </c>
      <c r="U19" s="115">
        <v>0</v>
      </c>
      <c r="V19" s="115">
        <v>0</v>
      </c>
      <c r="W19" s="115">
        <v>4.2591443017604399E-3</v>
      </c>
      <c r="X19" s="115">
        <v>0</v>
      </c>
      <c r="Y19" s="115">
        <v>0</v>
      </c>
      <c r="Z19" s="115">
        <v>0</v>
      </c>
      <c r="AA19" s="115">
        <v>0</v>
      </c>
      <c r="AB19" s="115">
        <v>4.2591443017604399E-3</v>
      </c>
      <c r="AC19" s="115">
        <v>1.34819374858253E-2</v>
      </c>
      <c r="AD19" s="115">
        <v>0</v>
      </c>
      <c r="AE19" s="115">
        <v>0</v>
      </c>
      <c r="AF19" s="115">
        <v>1.34819374858253E-2</v>
      </c>
      <c r="AG19" s="115">
        <v>4.1100737529576999E-2</v>
      </c>
      <c r="AH19" s="115">
        <v>0</v>
      </c>
      <c r="AI19" s="115">
        <v>0</v>
      </c>
      <c r="AJ19" s="115">
        <v>4.1100737529576999E-2</v>
      </c>
      <c r="AK19" s="115">
        <v>7.8943052871450501</v>
      </c>
      <c r="AL19" s="115">
        <v>0</v>
      </c>
      <c r="AM19" s="115">
        <v>0</v>
      </c>
      <c r="AN19" s="115">
        <v>7.8943052871450501</v>
      </c>
      <c r="AO19" s="115">
        <v>1.49342475191295E-3</v>
      </c>
      <c r="AP19" s="115">
        <v>0</v>
      </c>
      <c r="AQ19" s="115">
        <v>0</v>
      </c>
      <c r="AR19" s="115">
        <v>1.49342475191295E-3</v>
      </c>
      <c r="AS19" s="115">
        <v>0</v>
      </c>
      <c r="AT19" s="115">
        <v>0</v>
      </c>
      <c r="AU19" s="115">
        <v>1.49342475191295E-3</v>
      </c>
      <c r="AV19" s="115">
        <v>1.4288198582185199E-3</v>
      </c>
      <c r="AW19" s="115">
        <v>0</v>
      </c>
      <c r="AX19" s="115">
        <v>0</v>
      </c>
      <c r="AY19" s="115">
        <v>1.4288198582185199E-3</v>
      </c>
      <c r="AZ19" s="115">
        <v>0</v>
      </c>
      <c r="BA19" s="115">
        <v>0</v>
      </c>
      <c r="BB19" s="115">
        <v>1.4288198582185199E-3</v>
      </c>
      <c r="BC19" s="115">
        <v>7.4581481996506804E-5</v>
      </c>
      <c r="BD19" s="115">
        <v>0</v>
      </c>
      <c r="BE19" s="115">
        <v>0</v>
      </c>
      <c r="BF19" s="115">
        <v>7.4581481996506804E-5</v>
      </c>
      <c r="BG19" s="115">
        <v>1.2408748564653E-3</v>
      </c>
      <c r="BH19" s="115">
        <v>0</v>
      </c>
      <c r="BI19" s="115">
        <v>0</v>
      </c>
      <c r="BJ19" s="115">
        <v>1.2408748564653E-3</v>
      </c>
      <c r="BK19" s="117">
        <v>0.70356441041404705</v>
      </c>
    </row>
    <row r="20" spans="2:63">
      <c r="B20" s="95" t="s">
        <v>264</v>
      </c>
      <c r="C20" s="106">
        <v>2015</v>
      </c>
      <c r="D20" s="106" t="s">
        <v>135</v>
      </c>
      <c r="E20" s="106" t="s">
        <v>131</v>
      </c>
      <c r="F20" s="106" t="s">
        <v>131</v>
      </c>
      <c r="G20" s="106" t="s">
        <v>146</v>
      </c>
      <c r="H20" s="106">
        <v>192.83</v>
      </c>
      <c r="I20" s="115">
        <v>6058.7608071067098</v>
      </c>
      <c r="J20" s="115">
        <v>2225.2314651379402</v>
      </c>
      <c r="K20" s="115">
        <v>9.5176619677453595E-4</v>
      </c>
      <c r="L20" s="115">
        <v>8.4002960181647895E-5</v>
      </c>
      <c r="M20" s="115">
        <v>0</v>
      </c>
      <c r="N20" s="115">
        <v>1.03576915695618E-3</v>
      </c>
      <c r="O20" s="115">
        <v>0</v>
      </c>
      <c r="P20" s="115">
        <v>0</v>
      </c>
      <c r="Q20" s="115">
        <v>0</v>
      </c>
      <c r="R20" s="115">
        <v>0</v>
      </c>
      <c r="S20" s="115">
        <v>1.03576915695618E-3</v>
      </c>
      <c r="T20" s="115">
        <v>1.08351336535837E-3</v>
      </c>
      <c r="U20" s="115">
        <v>9.5630975753223098E-5</v>
      </c>
      <c r="V20" s="115">
        <v>0</v>
      </c>
      <c r="W20" s="115">
        <v>1.1791443411115999E-3</v>
      </c>
      <c r="X20" s="115">
        <v>0</v>
      </c>
      <c r="Y20" s="115">
        <v>0</v>
      </c>
      <c r="Z20" s="115">
        <v>0</v>
      </c>
      <c r="AA20" s="115">
        <v>0</v>
      </c>
      <c r="AB20" s="115">
        <v>1.1791443411115999E-3</v>
      </c>
      <c r="AC20" s="115">
        <v>2.3195061221179402E-3</v>
      </c>
      <c r="AD20" s="115">
        <v>1.0800436325243501E-3</v>
      </c>
      <c r="AE20" s="115">
        <v>0</v>
      </c>
      <c r="AF20" s="115">
        <v>3.39954975464229E-3</v>
      </c>
      <c r="AG20" s="115">
        <v>6.0022858976287202E-2</v>
      </c>
      <c r="AH20" s="115">
        <v>1.10560486284239E-2</v>
      </c>
      <c r="AI20" s="115">
        <v>1.02146987071595E-3</v>
      </c>
      <c r="AJ20" s="115">
        <v>7.2100377475427205E-2</v>
      </c>
      <c r="AK20" s="115">
        <v>7.95613856837348</v>
      </c>
      <c r="AL20" s="115">
        <v>0.80302393655639803</v>
      </c>
      <c r="AM20" s="115">
        <v>0</v>
      </c>
      <c r="AN20" s="115">
        <v>8.7591625049298791</v>
      </c>
      <c r="AO20" s="115">
        <v>4.5594174387318101E-4</v>
      </c>
      <c r="AP20" s="115">
        <v>2.2383991276780301E-5</v>
      </c>
      <c r="AQ20" s="115">
        <v>0</v>
      </c>
      <c r="AR20" s="115">
        <v>4.7832573514996102E-4</v>
      </c>
      <c r="AS20" s="115">
        <v>8.0143686814309196E-5</v>
      </c>
      <c r="AT20" s="115">
        <v>4.9742514949414601E-3</v>
      </c>
      <c r="AU20" s="115">
        <v>5.5327209169057298E-3</v>
      </c>
      <c r="AV20" s="115">
        <v>4.36217905858547E-4</v>
      </c>
      <c r="AW20" s="115">
        <v>2.14156697225534E-5</v>
      </c>
      <c r="AX20" s="115">
        <v>0</v>
      </c>
      <c r="AY20" s="115">
        <v>4.5763357558110002E-4</v>
      </c>
      <c r="AZ20" s="115">
        <v>2.0035921703577299E-5</v>
      </c>
      <c r="BA20" s="115">
        <v>2.13182206926062E-3</v>
      </c>
      <c r="BB20" s="115">
        <v>2.6094915665453001E-3</v>
      </c>
      <c r="BC20" s="115">
        <v>7.5165652177793394E-5</v>
      </c>
      <c r="BD20" s="115">
        <v>7.5865719767095903E-6</v>
      </c>
      <c r="BE20" s="115">
        <v>0</v>
      </c>
      <c r="BF20" s="115">
        <v>8.2752224154503007E-5</v>
      </c>
      <c r="BG20" s="115">
        <v>1.25059418719527E-3</v>
      </c>
      <c r="BH20" s="115">
        <v>1.2622418005992601E-4</v>
      </c>
      <c r="BI20" s="115">
        <v>0</v>
      </c>
      <c r="BJ20" s="115">
        <v>1.3768183672551899E-3</v>
      </c>
      <c r="BK20" s="117">
        <v>0.78064310656150404</v>
      </c>
    </row>
    <row r="21" spans="2:63">
      <c r="B21" s="95" t="s">
        <v>264</v>
      </c>
      <c r="C21" s="106">
        <v>2015</v>
      </c>
      <c r="D21" s="106" t="s">
        <v>171</v>
      </c>
      <c r="E21" s="106" t="s">
        <v>131</v>
      </c>
      <c r="F21" s="106" t="s">
        <v>131</v>
      </c>
      <c r="G21" s="106" t="s">
        <v>146</v>
      </c>
      <c r="H21" s="106">
        <v>4.0599999999999996</v>
      </c>
      <c r="I21" s="115">
        <v>99.192877154622707</v>
      </c>
      <c r="J21" s="115">
        <v>17.864000000000001</v>
      </c>
      <c r="K21" s="115">
        <v>7.8060508477175602E-5</v>
      </c>
      <c r="L21" s="115">
        <v>3.50336966321326E-6</v>
      </c>
      <c r="M21" s="115">
        <v>0</v>
      </c>
      <c r="N21" s="115">
        <v>8.1563878140388901E-5</v>
      </c>
      <c r="O21" s="115">
        <v>0</v>
      </c>
      <c r="P21" s="115">
        <v>0</v>
      </c>
      <c r="Q21" s="115">
        <v>0</v>
      </c>
      <c r="R21" s="115">
        <v>0</v>
      </c>
      <c r="S21" s="115">
        <v>8.1563878140388901E-5</v>
      </c>
      <c r="T21" s="115">
        <v>8.8865946834763097E-5</v>
      </c>
      <c r="U21" s="115">
        <v>3.98831968055477E-6</v>
      </c>
      <c r="V21" s="115">
        <v>0</v>
      </c>
      <c r="W21" s="115">
        <v>9.2854266515317901E-5</v>
      </c>
      <c r="X21" s="115">
        <v>0</v>
      </c>
      <c r="Y21" s="115">
        <v>0</v>
      </c>
      <c r="Z21" s="115">
        <v>0</v>
      </c>
      <c r="AA21" s="115">
        <v>0</v>
      </c>
      <c r="AB21" s="115">
        <v>9.2854266515317901E-5</v>
      </c>
      <c r="AC21" s="115">
        <v>2.4974157065573398E-4</v>
      </c>
      <c r="AD21" s="115">
        <v>1.9664817468288601E-5</v>
      </c>
      <c r="AE21" s="115">
        <v>0</v>
      </c>
      <c r="AF21" s="115">
        <v>2.6940638812402199E-4</v>
      </c>
      <c r="AG21" s="115">
        <v>1.01965685228357E-3</v>
      </c>
      <c r="AH21" s="115">
        <v>5.2627685640631099E-5</v>
      </c>
      <c r="AI21" s="115">
        <v>0</v>
      </c>
      <c r="AJ21" s="115">
        <v>1.0722845379242099E-3</v>
      </c>
      <c r="AK21" s="115">
        <v>0.118916813309615</v>
      </c>
      <c r="AL21" s="115">
        <v>3.02994749836559E-3</v>
      </c>
      <c r="AM21" s="115">
        <v>0</v>
      </c>
      <c r="AN21" s="115">
        <v>0.12194676080798</v>
      </c>
      <c r="AO21" s="115">
        <v>5.9023491224911998E-5</v>
      </c>
      <c r="AP21" s="115">
        <v>1.1329785641425399E-6</v>
      </c>
      <c r="AQ21" s="115">
        <v>0</v>
      </c>
      <c r="AR21" s="115">
        <v>6.01564697890546E-5</v>
      </c>
      <c r="AS21" s="115">
        <v>1.31209716540808E-6</v>
      </c>
      <c r="AT21" s="115">
        <v>1.42515620449408E-5</v>
      </c>
      <c r="AU21" s="115">
        <v>7.5720128999403499E-5</v>
      </c>
      <c r="AV21" s="115">
        <v>5.6470161121621097E-5</v>
      </c>
      <c r="AW21" s="115">
        <v>1.08396641297742E-6</v>
      </c>
      <c r="AX21" s="115">
        <v>0</v>
      </c>
      <c r="AY21" s="115">
        <v>5.7554127534598501E-5</v>
      </c>
      <c r="AZ21" s="115">
        <v>3.2802429135202101E-7</v>
      </c>
      <c r="BA21" s="115">
        <v>6.1078123049746401E-6</v>
      </c>
      <c r="BB21" s="115">
        <v>6.3989964130925202E-5</v>
      </c>
      <c r="BC21" s="115">
        <v>1.1234670877721301E-6</v>
      </c>
      <c r="BD21" s="115">
        <v>2.8625441578461999E-8</v>
      </c>
      <c r="BE21" s="115">
        <v>0</v>
      </c>
      <c r="BF21" s="115">
        <v>1.15209252935059E-6</v>
      </c>
      <c r="BG21" s="115">
        <v>1.86920670381427E-5</v>
      </c>
      <c r="BH21" s="115">
        <v>4.76265552239812E-7</v>
      </c>
      <c r="BI21" s="115">
        <v>0</v>
      </c>
      <c r="BJ21" s="115">
        <v>1.9168332590382501E-5</v>
      </c>
      <c r="BK21" s="117">
        <v>1.0868264875628799E-2</v>
      </c>
    </row>
    <row r="22" spans="2:63">
      <c r="B22" s="95" t="s">
        <v>264</v>
      </c>
      <c r="C22" s="106">
        <v>2015</v>
      </c>
      <c r="D22" s="106" t="s">
        <v>170</v>
      </c>
      <c r="E22" s="106" t="s">
        <v>131</v>
      </c>
      <c r="F22" s="106" t="s">
        <v>131</v>
      </c>
      <c r="G22" s="106" t="s">
        <v>146</v>
      </c>
      <c r="H22" s="106">
        <v>19.426132917014801</v>
      </c>
      <c r="I22" s="115">
        <v>3355.1714844261601</v>
      </c>
      <c r="J22" s="115">
        <v>283.621540588416</v>
      </c>
      <c r="K22" s="115">
        <v>6.1446943316408801E-4</v>
      </c>
      <c r="L22" s="115">
        <v>3.45513261104797E-6</v>
      </c>
      <c r="M22" s="115">
        <v>0</v>
      </c>
      <c r="N22" s="115">
        <v>6.17924565775136E-4</v>
      </c>
      <c r="O22" s="115">
        <v>0</v>
      </c>
      <c r="P22" s="115">
        <v>0</v>
      </c>
      <c r="Q22" s="115">
        <v>0</v>
      </c>
      <c r="R22" s="115">
        <v>0</v>
      </c>
      <c r="S22" s="115">
        <v>6.17924565775136E-4</v>
      </c>
      <c r="T22" s="115">
        <v>6.9952667545220004E-4</v>
      </c>
      <c r="U22" s="115">
        <v>3.9334054685311602E-6</v>
      </c>
      <c r="V22" s="115">
        <v>0</v>
      </c>
      <c r="W22" s="115">
        <v>7.0346008092073099E-4</v>
      </c>
      <c r="X22" s="115">
        <v>0</v>
      </c>
      <c r="Y22" s="115">
        <v>0</v>
      </c>
      <c r="Z22" s="115">
        <v>0</v>
      </c>
      <c r="AA22" s="115">
        <v>0</v>
      </c>
      <c r="AB22" s="115">
        <v>7.0346008092073099E-4</v>
      </c>
      <c r="AC22" s="115">
        <v>1.9949446868394402E-3</v>
      </c>
      <c r="AD22" s="115">
        <v>4.6497006240136397E-5</v>
      </c>
      <c r="AE22" s="115">
        <v>0</v>
      </c>
      <c r="AF22" s="115">
        <v>2.04144169307958E-3</v>
      </c>
      <c r="AG22" s="115">
        <v>1.2063734204424701E-2</v>
      </c>
      <c r="AH22" s="115">
        <v>1.5358289063076099E-4</v>
      </c>
      <c r="AI22" s="115">
        <v>2.0035468304459899E-4</v>
      </c>
      <c r="AJ22" s="115">
        <v>1.2417671778099999E-2</v>
      </c>
      <c r="AK22" s="115">
        <v>3.7954753972572699</v>
      </c>
      <c r="AL22" s="115">
        <v>1.4616545991761E-2</v>
      </c>
      <c r="AM22" s="115">
        <v>0</v>
      </c>
      <c r="AN22" s="115">
        <v>3.8100919432490299</v>
      </c>
      <c r="AO22" s="115">
        <v>4.46487633039953E-4</v>
      </c>
      <c r="AP22" s="115">
        <v>9.7847919859061295E-7</v>
      </c>
      <c r="AQ22" s="115">
        <v>0</v>
      </c>
      <c r="AR22" s="115">
        <v>4.4746611223854402E-4</v>
      </c>
      <c r="AS22" s="115">
        <v>4.4381321728487202E-5</v>
      </c>
      <c r="AT22" s="115">
        <v>4.82055122840918E-4</v>
      </c>
      <c r="AU22" s="115">
        <v>9.7390255680795002E-4</v>
      </c>
      <c r="AV22" s="115">
        <v>4.2717277567504603E-4</v>
      </c>
      <c r="AW22" s="115">
        <v>9.3615062158920899E-7</v>
      </c>
      <c r="AX22" s="115">
        <v>0</v>
      </c>
      <c r="AY22" s="115">
        <v>4.2810892629663501E-4</v>
      </c>
      <c r="AZ22" s="115">
        <v>1.1095330432121801E-5</v>
      </c>
      <c r="BA22" s="115">
        <v>2.0659505264610699E-4</v>
      </c>
      <c r="BB22" s="115">
        <v>6.4579930937486499E-4</v>
      </c>
      <c r="BC22" s="115">
        <v>3.5857769583560099E-5</v>
      </c>
      <c r="BD22" s="115">
        <v>1.3808987898032999E-7</v>
      </c>
      <c r="BE22" s="115">
        <v>0</v>
      </c>
      <c r="BF22" s="115">
        <v>3.5995859462540399E-5</v>
      </c>
      <c r="BG22" s="115">
        <v>5.9659587734191299E-4</v>
      </c>
      <c r="BH22" s="115">
        <v>2.2975174825173598E-6</v>
      </c>
      <c r="BI22" s="115">
        <v>0</v>
      </c>
      <c r="BJ22" s="115">
        <v>5.9889339482442996E-4</v>
      </c>
      <c r="BK22" s="117">
        <v>0.33956694023987499</v>
      </c>
    </row>
    <row r="23" spans="2:63">
      <c r="B23" s="95" t="s">
        <v>264</v>
      </c>
      <c r="C23" s="106">
        <v>2015</v>
      </c>
      <c r="D23" s="106" t="s">
        <v>169</v>
      </c>
      <c r="E23" s="106" t="s">
        <v>131</v>
      </c>
      <c r="F23" s="106" t="s">
        <v>131</v>
      </c>
      <c r="G23" s="106" t="s">
        <v>146</v>
      </c>
      <c r="H23" s="106">
        <v>8.6693597127677897</v>
      </c>
      <c r="I23" s="115">
        <v>464.72449695454702</v>
      </c>
      <c r="J23" s="115">
        <v>126.572651806409</v>
      </c>
      <c r="K23" s="115">
        <v>1.3680481914769401E-4</v>
      </c>
      <c r="L23" s="115">
        <v>1.5460929567079899E-6</v>
      </c>
      <c r="M23" s="115">
        <v>0</v>
      </c>
      <c r="N23" s="115">
        <v>1.3835091210440199E-4</v>
      </c>
      <c r="O23" s="115">
        <v>0</v>
      </c>
      <c r="P23" s="115">
        <v>0</v>
      </c>
      <c r="Q23" s="115">
        <v>0</v>
      </c>
      <c r="R23" s="115">
        <v>0</v>
      </c>
      <c r="S23" s="115">
        <v>1.3835091210440199E-4</v>
      </c>
      <c r="T23" s="115">
        <v>1.55741872840517E-4</v>
      </c>
      <c r="U23" s="115">
        <v>1.76010914062374E-6</v>
      </c>
      <c r="V23" s="115">
        <v>0</v>
      </c>
      <c r="W23" s="115">
        <v>1.5750198198114101E-4</v>
      </c>
      <c r="X23" s="115">
        <v>0</v>
      </c>
      <c r="Y23" s="115">
        <v>0</v>
      </c>
      <c r="Z23" s="115">
        <v>0</v>
      </c>
      <c r="AA23" s="115">
        <v>0</v>
      </c>
      <c r="AB23" s="115">
        <v>1.5750198198114101E-4</v>
      </c>
      <c r="AC23" s="115">
        <v>4.3975069478645399E-4</v>
      </c>
      <c r="AD23" s="115">
        <v>2.1010847759636902E-5</v>
      </c>
      <c r="AE23" s="115">
        <v>0</v>
      </c>
      <c r="AF23" s="115">
        <v>4.6076154254608999E-4</v>
      </c>
      <c r="AG23" s="115">
        <v>2.2978495307087099E-3</v>
      </c>
      <c r="AH23" s="115">
        <v>8.1102388134986699E-5</v>
      </c>
      <c r="AI23" s="115">
        <v>6.6920725834957394E-5</v>
      </c>
      <c r="AJ23" s="115">
        <v>2.4458726446786598E-3</v>
      </c>
      <c r="AK23" s="115">
        <v>0.55326015259473704</v>
      </c>
      <c r="AL23" s="115">
        <v>6.6910969932999498E-3</v>
      </c>
      <c r="AM23" s="115">
        <v>0</v>
      </c>
      <c r="AN23" s="115">
        <v>0.55995124958803699</v>
      </c>
      <c r="AO23" s="115">
        <v>9.73935802265083E-5</v>
      </c>
      <c r="AP23" s="115">
        <v>4.6758430709100301E-7</v>
      </c>
      <c r="AQ23" s="115">
        <v>0</v>
      </c>
      <c r="AR23" s="115">
        <v>9.78611645335993E-5</v>
      </c>
      <c r="AS23" s="115">
        <v>6.1472528334797204E-6</v>
      </c>
      <c r="AT23" s="115">
        <v>6.6769411192978901E-5</v>
      </c>
      <c r="AU23" s="115">
        <v>1.7077782856005799E-4</v>
      </c>
      <c r="AV23" s="115">
        <v>9.3180377057755894E-5</v>
      </c>
      <c r="AW23" s="115">
        <v>4.4735681694521502E-7</v>
      </c>
      <c r="AX23" s="115">
        <v>0</v>
      </c>
      <c r="AY23" s="115">
        <v>9.3627733874701097E-5</v>
      </c>
      <c r="AZ23" s="115">
        <v>1.5368132083699301E-6</v>
      </c>
      <c r="BA23" s="115">
        <v>2.8615461939848101E-5</v>
      </c>
      <c r="BB23" s="115">
        <v>1.2378000902291901E-4</v>
      </c>
      <c r="BC23" s="115">
        <v>5.2269275901099104E-6</v>
      </c>
      <c r="BD23" s="115">
        <v>6.3214166641781094E-8</v>
      </c>
      <c r="BE23" s="115">
        <v>0</v>
      </c>
      <c r="BF23" s="115">
        <v>5.2901417567516899E-6</v>
      </c>
      <c r="BG23" s="115">
        <v>8.6964791386633298E-5</v>
      </c>
      <c r="BH23" s="115">
        <v>1.0517472683348899E-6</v>
      </c>
      <c r="BI23" s="115">
        <v>0</v>
      </c>
      <c r="BJ23" s="115">
        <v>8.8016538654968197E-5</v>
      </c>
      <c r="BK23" s="117">
        <v>4.9904552262316999E-2</v>
      </c>
    </row>
    <row r="24" spans="2:63">
      <c r="B24" s="95" t="s">
        <v>264</v>
      </c>
      <c r="C24" s="106">
        <v>2015</v>
      </c>
      <c r="D24" s="106" t="s">
        <v>168</v>
      </c>
      <c r="E24" s="106" t="s">
        <v>131</v>
      </c>
      <c r="F24" s="106" t="s">
        <v>131</v>
      </c>
      <c r="G24" s="106" t="s">
        <v>146</v>
      </c>
      <c r="H24" s="106">
        <v>28.5843428843224</v>
      </c>
      <c r="I24" s="115">
        <v>1690.87982458995</v>
      </c>
      <c r="J24" s="115">
        <v>129.22870282332499</v>
      </c>
      <c r="K24" s="115">
        <v>2.1962041723762801E-3</v>
      </c>
      <c r="L24" s="115">
        <v>1.2763440011542801E-5</v>
      </c>
      <c r="M24" s="115">
        <v>0</v>
      </c>
      <c r="N24" s="115">
        <v>2.2089676123878202E-3</v>
      </c>
      <c r="O24" s="115">
        <v>0</v>
      </c>
      <c r="P24" s="115">
        <v>0</v>
      </c>
      <c r="Q24" s="115">
        <v>0</v>
      </c>
      <c r="R24" s="115">
        <v>0</v>
      </c>
      <c r="S24" s="115">
        <v>2.2089676123878202E-3</v>
      </c>
      <c r="T24" s="115">
        <v>2.5002112723585602E-3</v>
      </c>
      <c r="U24" s="115">
        <v>1.45302048836396E-5</v>
      </c>
      <c r="V24" s="115">
        <v>0</v>
      </c>
      <c r="W24" s="115">
        <v>2.5147414772422002E-3</v>
      </c>
      <c r="X24" s="115">
        <v>0</v>
      </c>
      <c r="Y24" s="115">
        <v>0</v>
      </c>
      <c r="Z24" s="115">
        <v>0</v>
      </c>
      <c r="AA24" s="115">
        <v>0</v>
      </c>
      <c r="AB24" s="115">
        <v>2.5147414772422002E-3</v>
      </c>
      <c r="AC24" s="115">
        <v>3.78677462582689E-3</v>
      </c>
      <c r="AD24" s="115">
        <v>9.7252044465787101E-5</v>
      </c>
      <c r="AE24" s="115">
        <v>0</v>
      </c>
      <c r="AF24" s="115">
        <v>3.8840266702926799E-3</v>
      </c>
      <c r="AG24" s="115">
        <v>1.6100980597217401E-2</v>
      </c>
      <c r="AH24" s="115">
        <v>2.7799818652315299E-4</v>
      </c>
      <c r="AI24" s="115">
        <v>9.0011923224040093E-5</v>
      </c>
      <c r="AJ24" s="115">
        <v>1.6468990706964601E-2</v>
      </c>
      <c r="AK24" s="115">
        <v>2.4835907502848</v>
      </c>
      <c r="AL24" s="115">
        <v>2.1168528189602499E-2</v>
      </c>
      <c r="AM24" s="115">
        <v>0</v>
      </c>
      <c r="AN24" s="115">
        <v>2.5047592784744102</v>
      </c>
      <c r="AO24" s="115">
        <v>7.5216164195676595E-4</v>
      </c>
      <c r="AP24" s="115">
        <v>4.0738327534140098E-6</v>
      </c>
      <c r="AQ24" s="115">
        <v>0</v>
      </c>
      <c r="AR24" s="115">
        <v>7.5623547471017998E-4</v>
      </c>
      <c r="AS24" s="115">
        <v>2.2366511472712202E-5</v>
      </c>
      <c r="AT24" s="115">
        <v>2.42937592112776E-4</v>
      </c>
      <c r="AU24" s="115">
        <v>1.02153957829566E-3</v>
      </c>
      <c r="AV24" s="115">
        <v>7.1962346227453101E-4</v>
      </c>
      <c r="AW24" s="115">
        <v>3.8976005518075703E-6</v>
      </c>
      <c r="AX24" s="115">
        <v>0</v>
      </c>
      <c r="AY24" s="115">
        <v>7.2352106282633905E-4</v>
      </c>
      <c r="AZ24" s="115">
        <v>5.5916278681780504E-6</v>
      </c>
      <c r="BA24" s="115">
        <v>1.0411611090547499E-4</v>
      </c>
      <c r="BB24" s="115">
        <v>8.3322880159999199E-4</v>
      </c>
      <c r="BC24" s="115">
        <v>2.3463733931177201E-5</v>
      </c>
      <c r="BD24" s="115">
        <v>1.99989758014076E-7</v>
      </c>
      <c r="BE24" s="115">
        <v>0</v>
      </c>
      <c r="BF24" s="115">
        <v>2.36637236891913E-5</v>
      </c>
      <c r="BG24" s="115">
        <v>3.9038587990720399E-4</v>
      </c>
      <c r="BH24" s="115">
        <v>3.32739784229376E-6</v>
      </c>
      <c r="BI24" s="115">
        <v>0</v>
      </c>
      <c r="BJ24" s="115">
        <v>3.9371327774949698E-4</v>
      </c>
      <c r="BK24" s="117">
        <v>0.22323173742198599</v>
      </c>
    </row>
    <row r="25" spans="2:63">
      <c r="B25" s="95" t="s">
        <v>264</v>
      </c>
      <c r="C25" s="106">
        <v>2015</v>
      </c>
      <c r="D25" s="106" t="s">
        <v>167</v>
      </c>
      <c r="E25" s="106" t="s">
        <v>131</v>
      </c>
      <c r="F25" s="106" t="s">
        <v>131</v>
      </c>
      <c r="G25" s="106" t="s">
        <v>146</v>
      </c>
      <c r="H25" s="106">
        <v>583.40738740040604</v>
      </c>
      <c r="I25" s="115">
        <v>27581.731509798399</v>
      </c>
      <c r="J25" s="115">
        <v>2637.5621156101702</v>
      </c>
      <c r="K25" s="115">
        <v>3.37055744583417E-2</v>
      </c>
      <c r="L25" s="115">
        <v>1.5425385715648999E-4</v>
      </c>
      <c r="M25" s="115">
        <v>0</v>
      </c>
      <c r="N25" s="115">
        <v>3.3859828315498199E-2</v>
      </c>
      <c r="O25" s="115">
        <v>0</v>
      </c>
      <c r="P25" s="115">
        <v>0</v>
      </c>
      <c r="Q25" s="115">
        <v>0</v>
      </c>
      <c r="R25" s="115">
        <v>0</v>
      </c>
      <c r="S25" s="115">
        <v>3.3859828315498199E-2</v>
      </c>
      <c r="T25" s="115">
        <v>3.8371230809058202E-2</v>
      </c>
      <c r="U25" s="115">
        <v>1.7560627437027099E-4</v>
      </c>
      <c r="V25" s="115">
        <v>0</v>
      </c>
      <c r="W25" s="115">
        <v>3.8546837083428501E-2</v>
      </c>
      <c r="X25" s="115">
        <v>0</v>
      </c>
      <c r="Y25" s="115">
        <v>0</v>
      </c>
      <c r="Z25" s="115">
        <v>0</v>
      </c>
      <c r="AA25" s="115">
        <v>0</v>
      </c>
      <c r="AB25" s="115">
        <v>3.8546837083428501E-2</v>
      </c>
      <c r="AC25" s="115">
        <v>6.3905285167529496E-2</v>
      </c>
      <c r="AD25" s="115">
        <v>1.65296713605548E-3</v>
      </c>
      <c r="AE25" s="115">
        <v>0</v>
      </c>
      <c r="AF25" s="115">
        <v>6.5558252303585002E-2</v>
      </c>
      <c r="AG25" s="115">
        <v>0.245522548536972</v>
      </c>
      <c r="AH25" s="115">
        <v>6.3306262148259502E-3</v>
      </c>
      <c r="AI25" s="115">
        <v>1.7387329796460099E-3</v>
      </c>
      <c r="AJ25" s="115">
        <v>0.25359190773144402</v>
      </c>
      <c r="AK25" s="115">
        <v>40.363968716860299</v>
      </c>
      <c r="AL25" s="115">
        <v>0.44853522989178801</v>
      </c>
      <c r="AM25" s="115">
        <v>0</v>
      </c>
      <c r="AN25" s="115">
        <v>40.812503946752102</v>
      </c>
      <c r="AO25" s="115">
        <v>1.0898614263110701E-2</v>
      </c>
      <c r="AP25" s="115">
        <v>5.1167287618217803E-5</v>
      </c>
      <c r="AQ25" s="115">
        <v>0</v>
      </c>
      <c r="AR25" s="115">
        <v>1.0949781550728999E-2</v>
      </c>
      <c r="AS25" s="115">
        <v>3.6484385541756502E-4</v>
      </c>
      <c r="AT25" s="115">
        <v>3.9628123429271203E-3</v>
      </c>
      <c r="AU25" s="115">
        <v>1.52774377490736E-2</v>
      </c>
      <c r="AV25" s="115">
        <v>1.0427145034424899E-2</v>
      </c>
      <c r="AW25" s="115">
        <v>4.8953813405357301E-5</v>
      </c>
      <c r="AX25" s="115">
        <v>0</v>
      </c>
      <c r="AY25" s="115">
        <v>1.04760988478302E-2</v>
      </c>
      <c r="AZ25" s="115">
        <v>9.1210963854391295E-5</v>
      </c>
      <c r="BA25" s="115">
        <v>1.69834814696876E-3</v>
      </c>
      <c r="BB25" s="115">
        <v>1.2265657958653401E-2</v>
      </c>
      <c r="BC25" s="115">
        <v>3.8133876214113102E-4</v>
      </c>
      <c r="BD25" s="115">
        <v>4.2375384478032302E-6</v>
      </c>
      <c r="BE25" s="115">
        <v>0</v>
      </c>
      <c r="BF25" s="115">
        <v>3.8557630058893498E-4</v>
      </c>
      <c r="BG25" s="115">
        <v>6.3446537809304397E-3</v>
      </c>
      <c r="BH25" s="115">
        <v>7.0503491918145499E-5</v>
      </c>
      <c r="BI25" s="115">
        <v>0</v>
      </c>
      <c r="BJ25" s="115">
        <v>6.4151572728485904E-3</v>
      </c>
      <c r="BK25" s="117">
        <v>3.6373340316057101</v>
      </c>
    </row>
    <row r="26" spans="2:63">
      <c r="B26" s="95" t="s">
        <v>264</v>
      </c>
      <c r="C26" s="106">
        <v>2015</v>
      </c>
      <c r="D26" s="106" t="s">
        <v>166</v>
      </c>
      <c r="E26" s="106" t="s">
        <v>131</v>
      </c>
      <c r="F26" s="106" t="s">
        <v>131</v>
      </c>
      <c r="G26" s="106" t="s">
        <v>146</v>
      </c>
      <c r="H26" s="106">
        <v>491.71825574496302</v>
      </c>
      <c r="I26" s="115">
        <v>58415.887804423197</v>
      </c>
      <c r="J26" s="115">
        <v>5674.3604971552204</v>
      </c>
      <c r="K26" s="115">
        <v>3.7538722255572199E-2</v>
      </c>
      <c r="L26" s="115">
        <v>2.0266143045090799E-4</v>
      </c>
      <c r="M26" s="115">
        <v>0</v>
      </c>
      <c r="N26" s="115">
        <v>3.77413836860232E-2</v>
      </c>
      <c r="O26" s="115">
        <v>0</v>
      </c>
      <c r="P26" s="115">
        <v>0</v>
      </c>
      <c r="Q26" s="115">
        <v>0</v>
      </c>
      <c r="R26" s="115">
        <v>0</v>
      </c>
      <c r="S26" s="115">
        <v>3.77413836860232E-2</v>
      </c>
      <c r="T26" s="115">
        <v>4.2734977792055102E-2</v>
      </c>
      <c r="U26" s="115">
        <v>2.30714611719104E-4</v>
      </c>
      <c r="V26" s="115">
        <v>0</v>
      </c>
      <c r="W26" s="115">
        <v>4.2965692403774201E-2</v>
      </c>
      <c r="X26" s="115">
        <v>0</v>
      </c>
      <c r="Y26" s="115">
        <v>0</v>
      </c>
      <c r="Z26" s="115">
        <v>0</v>
      </c>
      <c r="AA26" s="115">
        <v>0</v>
      </c>
      <c r="AB26" s="115">
        <v>4.2965692403774201E-2</v>
      </c>
      <c r="AC26" s="115">
        <v>9.1527858295743197E-2</v>
      </c>
      <c r="AD26" s="115">
        <v>1.5526827030112799E-3</v>
      </c>
      <c r="AE26" s="115">
        <v>0</v>
      </c>
      <c r="AF26" s="115">
        <v>9.3080540998754499E-2</v>
      </c>
      <c r="AG26" s="115">
        <v>0.40907474179980002</v>
      </c>
      <c r="AH26" s="115">
        <v>4.5895312928449098E-3</v>
      </c>
      <c r="AI26" s="115">
        <v>3.6124912482422898E-3</v>
      </c>
      <c r="AJ26" s="115">
        <v>0.41727676434088801</v>
      </c>
      <c r="AK26" s="115">
        <v>74.562088067818607</v>
      </c>
      <c r="AL26" s="115">
        <v>0.36676122095159702</v>
      </c>
      <c r="AM26" s="115">
        <v>0</v>
      </c>
      <c r="AN26" s="115">
        <v>74.928849288770294</v>
      </c>
      <c r="AO26" s="115">
        <v>1.81000852117204E-2</v>
      </c>
      <c r="AP26" s="115">
        <v>6.3416348934635096E-5</v>
      </c>
      <c r="AQ26" s="115">
        <v>0</v>
      </c>
      <c r="AR26" s="115">
        <v>1.8163501560655101E-2</v>
      </c>
      <c r="AS26" s="115">
        <v>7.7270992637406795E-4</v>
      </c>
      <c r="AT26" s="115">
        <v>8.3929176502996698E-3</v>
      </c>
      <c r="AU26" s="115">
        <v>2.7329129137328802E-2</v>
      </c>
      <c r="AV26" s="115">
        <v>1.7317083537571599E-2</v>
      </c>
      <c r="AW26" s="115">
        <v>6.0672985751345999E-5</v>
      </c>
      <c r="AX26" s="115">
        <v>0</v>
      </c>
      <c r="AY26" s="115">
        <v>1.73777565233229E-2</v>
      </c>
      <c r="AZ26" s="115">
        <v>1.9317748159351699E-4</v>
      </c>
      <c r="BA26" s="115">
        <v>3.59696470727128E-3</v>
      </c>
      <c r="BB26" s="115">
        <v>2.1167898712187699E-2</v>
      </c>
      <c r="BC26" s="115">
        <v>7.0442563678241896E-4</v>
      </c>
      <c r="BD26" s="115">
        <v>3.46497815861777E-6</v>
      </c>
      <c r="BE26" s="115">
        <v>0</v>
      </c>
      <c r="BF26" s="115">
        <v>7.0789061494103698E-4</v>
      </c>
      <c r="BG26" s="115">
        <v>1.1720121906049E-2</v>
      </c>
      <c r="BH26" s="115">
        <v>5.7649756482870801E-5</v>
      </c>
      <c r="BI26" s="115">
        <v>0</v>
      </c>
      <c r="BJ26" s="115">
        <v>1.17777716625319E-2</v>
      </c>
      <c r="BK26" s="117">
        <v>6.6778861160462704</v>
      </c>
    </row>
    <row r="27" spans="2:63">
      <c r="B27" s="95" t="s">
        <v>264</v>
      </c>
      <c r="C27" s="106">
        <v>2015</v>
      </c>
      <c r="D27" s="106" t="s">
        <v>165</v>
      </c>
      <c r="E27" s="106" t="s">
        <v>131</v>
      </c>
      <c r="F27" s="106" t="s">
        <v>131</v>
      </c>
      <c r="G27" s="106" t="s">
        <v>146</v>
      </c>
      <c r="H27" s="106">
        <v>2810.94</v>
      </c>
      <c r="I27" s="115">
        <v>121895.07680083701</v>
      </c>
      <c r="J27" s="115">
        <v>32437.857878000599</v>
      </c>
      <c r="K27" s="115">
        <v>8.5677062229338102E-2</v>
      </c>
      <c r="L27" s="115">
        <v>7.2829228523979095E-4</v>
      </c>
      <c r="M27" s="115">
        <v>0</v>
      </c>
      <c r="N27" s="115">
        <v>8.6405354514577898E-2</v>
      </c>
      <c r="O27" s="115">
        <v>0</v>
      </c>
      <c r="P27" s="115">
        <v>0</v>
      </c>
      <c r="Q27" s="115">
        <v>0</v>
      </c>
      <c r="R27" s="115">
        <v>0</v>
      </c>
      <c r="S27" s="115">
        <v>8.6405354514577898E-2</v>
      </c>
      <c r="T27" s="115">
        <v>9.7536813499713201E-2</v>
      </c>
      <c r="U27" s="115">
        <v>8.2910532819820495E-4</v>
      </c>
      <c r="V27" s="115">
        <v>0</v>
      </c>
      <c r="W27" s="115">
        <v>9.8365918827911403E-2</v>
      </c>
      <c r="X27" s="115">
        <v>0</v>
      </c>
      <c r="Y27" s="115">
        <v>0</v>
      </c>
      <c r="Z27" s="115">
        <v>0</v>
      </c>
      <c r="AA27" s="115">
        <v>0</v>
      </c>
      <c r="AB27" s="115">
        <v>9.8365918827911403E-2</v>
      </c>
      <c r="AC27" s="115">
        <v>0.21961751603650001</v>
      </c>
      <c r="AD27" s="115">
        <v>7.9199384921414193E-3</v>
      </c>
      <c r="AE27" s="115">
        <v>0</v>
      </c>
      <c r="AF27" s="115">
        <v>0.22753745452864199</v>
      </c>
      <c r="AG27" s="115">
        <v>0.96319184318533901</v>
      </c>
      <c r="AH27" s="115">
        <v>3.12374389776949E-2</v>
      </c>
      <c r="AI27" s="115">
        <v>1.5210763363287701E-2</v>
      </c>
      <c r="AJ27" s="115">
        <v>1.0096400455263199</v>
      </c>
      <c r="AK27" s="115">
        <v>159.28807635712599</v>
      </c>
      <c r="AL27" s="115">
        <v>2.16870368415979</v>
      </c>
      <c r="AM27" s="115">
        <v>0</v>
      </c>
      <c r="AN27" s="115">
        <v>161.45678004128601</v>
      </c>
      <c r="AO27" s="115">
        <v>3.8659095699238699E-2</v>
      </c>
      <c r="AP27" s="115">
        <v>2.4441110917858798E-4</v>
      </c>
      <c r="AQ27" s="115">
        <v>0</v>
      </c>
      <c r="AR27" s="115">
        <v>3.8903506808417303E-2</v>
      </c>
      <c r="AS27" s="115">
        <v>1.61239586284272E-3</v>
      </c>
      <c r="AT27" s="115">
        <v>1.7513306396910001E-2</v>
      </c>
      <c r="AU27" s="115">
        <v>5.8029209068170003E-2</v>
      </c>
      <c r="AV27" s="115">
        <v>3.6986720331967801E-2</v>
      </c>
      <c r="AW27" s="115">
        <v>2.3383799278555101E-4</v>
      </c>
      <c r="AX27" s="115">
        <v>0</v>
      </c>
      <c r="AY27" s="115">
        <v>3.7220558324753301E-2</v>
      </c>
      <c r="AZ27" s="115">
        <v>4.0309896571068E-4</v>
      </c>
      <c r="BA27" s="115">
        <v>7.5057027415328598E-3</v>
      </c>
      <c r="BB27" s="115">
        <v>4.5129360031996898E-2</v>
      </c>
      <c r="BC27" s="115">
        <v>1.50487476313239E-3</v>
      </c>
      <c r="BD27" s="115">
        <v>2.04888370657903E-5</v>
      </c>
      <c r="BE27" s="115">
        <v>0</v>
      </c>
      <c r="BF27" s="115">
        <v>1.5253636001981801E-3</v>
      </c>
      <c r="BG27" s="115">
        <v>2.5037867386271902E-2</v>
      </c>
      <c r="BH27" s="115">
        <v>3.4089001817293299E-4</v>
      </c>
      <c r="BI27" s="115">
        <v>0</v>
      </c>
      <c r="BJ27" s="115">
        <v>2.5378757404444899E-2</v>
      </c>
      <c r="BK27" s="117">
        <v>14.3895175224695</v>
      </c>
    </row>
    <row r="28" spans="2:63">
      <c r="B28" s="95" t="s">
        <v>264</v>
      </c>
      <c r="C28" s="106">
        <v>2015</v>
      </c>
      <c r="D28" s="106" t="s">
        <v>164</v>
      </c>
      <c r="E28" s="106" t="s">
        <v>131</v>
      </c>
      <c r="F28" s="106" t="s">
        <v>131</v>
      </c>
      <c r="G28" s="106" t="s">
        <v>146</v>
      </c>
      <c r="H28" s="106">
        <v>11.1819024781647</v>
      </c>
      <c r="I28" s="115">
        <v>1927.0053008183399</v>
      </c>
      <c r="J28" s="115">
        <v>163.25577618120599</v>
      </c>
      <c r="K28" s="115">
        <v>3.6523987149845999E-4</v>
      </c>
      <c r="L28" s="115">
        <v>2.0729765667087699E-6</v>
      </c>
      <c r="M28" s="115">
        <v>0</v>
      </c>
      <c r="N28" s="115">
        <v>3.6731284806516899E-4</v>
      </c>
      <c r="O28" s="115">
        <v>0</v>
      </c>
      <c r="P28" s="115">
        <v>0</v>
      </c>
      <c r="Q28" s="115">
        <v>0</v>
      </c>
      <c r="R28" s="115">
        <v>0</v>
      </c>
      <c r="S28" s="115">
        <v>3.6731284806516899E-4</v>
      </c>
      <c r="T28" s="115">
        <v>4.1579779117129599E-4</v>
      </c>
      <c r="U28" s="115">
        <v>2.3599260235502501E-6</v>
      </c>
      <c r="V28" s="115">
        <v>0</v>
      </c>
      <c r="W28" s="115">
        <v>4.1815771719484702E-4</v>
      </c>
      <c r="X28" s="115">
        <v>0</v>
      </c>
      <c r="Y28" s="115">
        <v>0</v>
      </c>
      <c r="Z28" s="115">
        <v>0</v>
      </c>
      <c r="AA28" s="115">
        <v>0</v>
      </c>
      <c r="AB28" s="115">
        <v>4.1815771719484702E-4</v>
      </c>
      <c r="AC28" s="115">
        <v>1.181001440301E-3</v>
      </c>
      <c r="AD28" s="115">
        <v>2.72365667127458E-5</v>
      </c>
      <c r="AE28" s="115">
        <v>0</v>
      </c>
      <c r="AF28" s="115">
        <v>1.20823800701375E-3</v>
      </c>
      <c r="AG28" s="115">
        <v>6.9686579175990701E-3</v>
      </c>
      <c r="AH28" s="115">
        <v>8.8519710398129398E-5</v>
      </c>
      <c r="AI28" s="115">
        <v>1.14843641556278E-4</v>
      </c>
      <c r="AJ28" s="115">
        <v>7.17202126955348E-3</v>
      </c>
      <c r="AK28" s="115">
        <v>2.1800362477267199</v>
      </c>
      <c r="AL28" s="115">
        <v>8.4075858788260904E-3</v>
      </c>
      <c r="AM28" s="115">
        <v>0</v>
      </c>
      <c r="AN28" s="115">
        <v>2.1884438336055498</v>
      </c>
      <c r="AO28" s="115">
        <v>2.6503923910043401E-4</v>
      </c>
      <c r="AP28" s="115">
        <v>5.9150281783462404E-7</v>
      </c>
      <c r="AQ28" s="115">
        <v>0</v>
      </c>
      <c r="AR28" s="115">
        <v>2.6563074191826802E-4</v>
      </c>
      <c r="AS28" s="115">
        <v>2.54899168716397E-5</v>
      </c>
      <c r="AT28" s="115">
        <v>2.7686298042079301E-4</v>
      </c>
      <c r="AU28" s="115">
        <v>5.6798363921070204E-4</v>
      </c>
      <c r="AV28" s="115">
        <v>2.53573758938141E-4</v>
      </c>
      <c r="AW28" s="115">
        <v>5.6591466776733096E-7</v>
      </c>
      <c r="AX28" s="115">
        <v>0</v>
      </c>
      <c r="AY28" s="115">
        <v>2.5413967360590799E-4</v>
      </c>
      <c r="AZ28" s="115">
        <v>6.3724792179099301E-6</v>
      </c>
      <c r="BA28" s="115">
        <v>1.1865556303748301E-4</v>
      </c>
      <c r="BB28" s="115">
        <v>3.7916771586130098E-4</v>
      </c>
      <c r="BC28" s="115">
        <v>2.0595901507169E-5</v>
      </c>
      <c r="BD28" s="115">
        <v>7.9430702518792906E-8</v>
      </c>
      <c r="BE28" s="115">
        <v>0</v>
      </c>
      <c r="BF28" s="115">
        <v>2.06753322096878E-5</v>
      </c>
      <c r="BG28" s="115">
        <v>3.4267133935041502E-4</v>
      </c>
      <c r="BH28" s="115">
        <v>1.3215554176244599E-6</v>
      </c>
      <c r="BI28" s="115">
        <v>0</v>
      </c>
      <c r="BJ28" s="115">
        <v>3.4399289476803901E-4</v>
      </c>
      <c r="BK28" s="117">
        <v>0.195040746400089</v>
      </c>
    </row>
    <row r="29" spans="2:63">
      <c r="B29" s="95" t="s">
        <v>264</v>
      </c>
      <c r="C29" s="106">
        <v>2015</v>
      </c>
      <c r="D29" s="106" t="s">
        <v>163</v>
      </c>
      <c r="E29" s="106" t="s">
        <v>131</v>
      </c>
      <c r="F29" s="106" t="s">
        <v>131</v>
      </c>
      <c r="G29" s="106" t="s">
        <v>146</v>
      </c>
      <c r="H29" s="106">
        <v>5.00366292996436</v>
      </c>
      <c r="I29" s="115">
        <v>267.65331944660102</v>
      </c>
      <c r="J29" s="115">
        <v>73.053478777479597</v>
      </c>
      <c r="K29" s="115">
        <v>7.9405852931974197E-5</v>
      </c>
      <c r="L29" s="115">
        <v>8.9903866357987002E-7</v>
      </c>
      <c r="M29" s="115">
        <v>0</v>
      </c>
      <c r="N29" s="115">
        <v>8.0304891595554001E-5</v>
      </c>
      <c r="O29" s="115">
        <v>0</v>
      </c>
      <c r="P29" s="115">
        <v>0</v>
      </c>
      <c r="Q29" s="115">
        <v>0</v>
      </c>
      <c r="R29" s="115">
        <v>0</v>
      </c>
      <c r="S29" s="115">
        <v>8.0304891595554001E-5</v>
      </c>
      <c r="T29" s="115">
        <v>9.03975190871977E-5</v>
      </c>
      <c r="U29" s="115">
        <v>1.0234870825040199E-6</v>
      </c>
      <c r="V29" s="115">
        <v>0</v>
      </c>
      <c r="W29" s="115">
        <v>9.1421006169701703E-5</v>
      </c>
      <c r="X29" s="115">
        <v>0</v>
      </c>
      <c r="Y29" s="115">
        <v>0</v>
      </c>
      <c r="Z29" s="115">
        <v>0</v>
      </c>
      <c r="AA29" s="115">
        <v>0</v>
      </c>
      <c r="AB29" s="115">
        <v>9.1421006169701703E-5</v>
      </c>
      <c r="AC29" s="115">
        <v>2.54696265406621E-4</v>
      </c>
      <c r="AD29" s="115">
        <v>1.21578994919122E-5</v>
      </c>
      <c r="AE29" s="115">
        <v>0</v>
      </c>
      <c r="AF29" s="115">
        <v>2.66854164898533E-4</v>
      </c>
      <c r="AG29" s="115">
        <v>1.3300994670931E-3</v>
      </c>
      <c r="AH29" s="115">
        <v>4.6888169291555E-5</v>
      </c>
      <c r="AI29" s="115">
        <v>3.8402780467887498E-5</v>
      </c>
      <c r="AJ29" s="115">
        <v>1.41539041685254E-3</v>
      </c>
      <c r="AK29" s="115">
        <v>0.31868034249877403</v>
      </c>
      <c r="AL29" s="115">
        <v>3.8613927814636299E-3</v>
      </c>
      <c r="AM29" s="115">
        <v>0</v>
      </c>
      <c r="AN29" s="115">
        <v>0.322541735280237</v>
      </c>
      <c r="AO29" s="115">
        <v>5.64301737105566E-5</v>
      </c>
      <c r="AP29" s="115">
        <v>2.7242412637365602E-7</v>
      </c>
      <c r="AQ29" s="115">
        <v>0</v>
      </c>
      <c r="AR29" s="115">
        <v>5.6702597836930202E-5</v>
      </c>
      <c r="AS29" s="115">
        <v>3.54044737718936E-6</v>
      </c>
      <c r="AT29" s="115">
        <v>3.84551592619051E-5</v>
      </c>
      <c r="AU29" s="115">
        <v>9.8698204476024704E-5</v>
      </c>
      <c r="AV29" s="115">
        <v>5.3989029374989197E-5</v>
      </c>
      <c r="AW29" s="115">
        <v>2.6063917925688802E-7</v>
      </c>
      <c r="AX29" s="115">
        <v>0</v>
      </c>
      <c r="AY29" s="115">
        <v>5.4249668554246098E-5</v>
      </c>
      <c r="AZ29" s="115">
        <v>8.8511184429733999E-7</v>
      </c>
      <c r="BA29" s="115">
        <v>1.6480782540816399E-5</v>
      </c>
      <c r="BB29" s="115">
        <v>7.1615562939359906E-5</v>
      </c>
      <c r="BC29" s="115">
        <v>3.0107338596869E-6</v>
      </c>
      <c r="BD29" s="115">
        <v>3.6480524344697697E-8</v>
      </c>
      <c r="BE29" s="115">
        <v>0</v>
      </c>
      <c r="BF29" s="115">
        <v>3.0472143840316002E-6</v>
      </c>
      <c r="BG29" s="115">
        <v>5.00921119557424E-5</v>
      </c>
      <c r="BH29" s="115">
        <v>6.0695717218552895E-7</v>
      </c>
      <c r="BI29" s="115">
        <v>0</v>
      </c>
      <c r="BJ29" s="115">
        <v>5.0699069127928002E-5</v>
      </c>
      <c r="BK29" s="117">
        <v>2.8745896891762102E-2</v>
      </c>
    </row>
    <row r="30" spans="2:63">
      <c r="B30" s="95" t="s">
        <v>264</v>
      </c>
      <c r="C30" s="106">
        <v>2015</v>
      </c>
      <c r="D30" s="106" t="s">
        <v>162</v>
      </c>
      <c r="E30" s="106" t="s">
        <v>131</v>
      </c>
      <c r="F30" s="106" t="s">
        <v>131</v>
      </c>
      <c r="G30" s="106" t="s">
        <v>146</v>
      </c>
      <c r="H30" s="106">
        <v>347.45</v>
      </c>
      <c r="I30" s="115">
        <v>5276.6276601852596</v>
      </c>
      <c r="J30" s="115">
        <v>1053.9316656127301</v>
      </c>
      <c r="K30" s="115">
        <v>6.9110529797934803E-4</v>
      </c>
      <c r="L30" s="115">
        <v>1.8184378412205499E-4</v>
      </c>
      <c r="M30" s="115">
        <v>0</v>
      </c>
      <c r="N30" s="115">
        <v>8.7294908210140297E-4</v>
      </c>
      <c r="O30" s="115">
        <v>0</v>
      </c>
      <c r="P30" s="115">
        <v>0</v>
      </c>
      <c r="Q30" s="115">
        <v>0</v>
      </c>
      <c r="R30" s="115">
        <v>0</v>
      </c>
      <c r="S30" s="115">
        <v>8.7294908210140297E-4</v>
      </c>
      <c r="T30" s="115">
        <v>7.8677077392358299E-4</v>
      </c>
      <c r="U30" s="115">
        <v>2.0701530603977101E-4</v>
      </c>
      <c r="V30" s="115">
        <v>0</v>
      </c>
      <c r="W30" s="115">
        <v>9.9378607996335492E-4</v>
      </c>
      <c r="X30" s="115">
        <v>0</v>
      </c>
      <c r="Y30" s="115">
        <v>0</v>
      </c>
      <c r="Z30" s="115">
        <v>0</v>
      </c>
      <c r="AA30" s="115">
        <v>0</v>
      </c>
      <c r="AB30" s="115">
        <v>9.9378607996335492E-4</v>
      </c>
      <c r="AC30" s="115">
        <v>1.5629770739813401E-3</v>
      </c>
      <c r="AD30" s="115">
        <v>1.6966424904474599E-3</v>
      </c>
      <c r="AE30" s="115">
        <v>0</v>
      </c>
      <c r="AF30" s="115">
        <v>3.2596195644288002E-3</v>
      </c>
      <c r="AG30" s="115">
        <v>5.1847572173640298E-2</v>
      </c>
      <c r="AH30" s="115">
        <v>1.9232338895042101E-2</v>
      </c>
      <c r="AI30" s="115">
        <v>5.2960291484845697E-4</v>
      </c>
      <c r="AJ30" s="115">
        <v>7.1609513983531006E-2</v>
      </c>
      <c r="AK30" s="115">
        <v>7.5160147128714598</v>
      </c>
      <c r="AL30" s="115">
        <v>1.37472308899355</v>
      </c>
      <c r="AM30" s="115">
        <v>0</v>
      </c>
      <c r="AN30" s="115">
        <v>8.8907378018650096</v>
      </c>
      <c r="AO30" s="115">
        <v>3.0131680212982002E-4</v>
      </c>
      <c r="AP30" s="115">
        <v>4.9273275871946198E-5</v>
      </c>
      <c r="AQ30" s="115">
        <v>0</v>
      </c>
      <c r="AR30" s="115">
        <v>3.5059007800176598E-4</v>
      </c>
      <c r="AS30" s="115">
        <v>6.9797836240304402E-5</v>
      </c>
      <c r="AT30" s="115">
        <v>7.5812083129677299E-4</v>
      </c>
      <c r="AU30" s="115">
        <v>1.1785087455388401E-3</v>
      </c>
      <c r="AV30" s="115">
        <v>2.8828197064935499E-4</v>
      </c>
      <c r="AW30" s="115">
        <v>4.7141735768833902E-5</v>
      </c>
      <c r="AX30" s="115">
        <v>0</v>
      </c>
      <c r="AY30" s="115">
        <v>3.3542370641818898E-4</v>
      </c>
      <c r="AZ30" s="115">
        <v>1.7449459060076101E-5</v>
      </c>
      <c r="BA30" s="115">
        <v>3.2490892769861698E-4</v>
      </c>
      <c r="BB30" s="115">
        <v>6.7778209317688205E-4</v>
      </c>
      <c r="BC30" s="115">
        <v>7.1007580224481803E-5</v>
      </c>
      <c r="BD30" s="115">
        <v>1.2987702094433901E-5</v>
      </c>
      <c r="BE30" s="115">
        <v>0</v>
      </c>
      <c r="BF30" s="115">
        <v>8.3995282318915693E-5</v>
      </c>
      <c r="BG30" s="115">
        <v>1.18141284619591E-3</v>
      </c>
      <c r="BH30" s="115">
        <v>2.1608732544359501E-4</v>
      </c>
      <c r="BI30" s="115">
        <v>0</v>
      </c>
      <c r="BJ30" s="115">
        <v>1.3975001716395E-3</v>
      </c>
      <c r="BK30" s="117">
        <v>0.79236949575549098</v>
      </c>
    </row>
    <row r="31" spans="2:63">
      <c r="B31" s="95" t="s">
        <v>264</v>
      </c>
      <c r="C31" s="106">
        <v>2015</v>
      </c>
      <c r="D31" s="106" t="s">
        <v>161</v>
      </c>
      <c r="E31" s="106" t="s">
        <v>131</v>
      </c>
      <c r="F31" s="106" t="s">
        <v>131</v>
      </c>
      <c r="G31" s="106" t="s">
        <v>146</v>
      </c>
      <c r="H31" s="106">
        <v>73.91</v>
      </c>
      <c r="I31" s="115">
        <v>1266.2367096391299</v>
      </c>
      <c r="J31" s="115">
        <v>849.96500000000003</v>
      </c>
      <c r="K31" s="115">
        <v>6.8643110717744001E-5</v>
      </c>
      <c r="L31" s="115">
        <v>1.1951490686773401E-5</v>
      </c>
      <c r="M31" s="115">
        <v>0</v>
      </c>
      <c r="N31" s="115">
        <v>8.0594601404517503E-5</v>
      </c>
      <c r="O31" s="115">
        <v>0</v>
      </c>
      <c r="P31" s="115">
        <v>0</v>
      </c>
      <c r="Q31" s="115">
        <v>0</v>
      </c>
      <c r="R31" s="115">
        <v>0</v>
      </c>
      <c r="S31" s="115">
        <v>8.0594601404517503E-5</v>
      </c>
      <c r="T31" s="115">
        <v>7.8144956350103902E-5</v>
      </c>
      <c r="U31" s="115">
        <v>1.36058623840186E-5</v>
      </c>
      <c r="V31" s="115">
        <v>0</v>
      </c>
      <c r="W31" s="115">
        <v>9.1750818734122607E-5</v>
      </c>
      <c r="X31" s="115">
        <v>0</v>
      </c>
      <c r="Y31" s="115">
        <v>0</v>
      </c>
      <c r="Z31" s="115">
        <v>0</v>
      </c>
      <c r="AA31" s="115">
        <v>0</v>
      </c>
      <c r="AB31" s="115">
        <v>9.1750818734122607E-5</v>
      </c>
      <c r="AC31" s="115">
        <v>2.18031491648376E-4</v>
      </c>
      <c r="AD31" s="115">
        <v>2.9726647617060102E-4</v>
      </c>
      <c r="AE31" s="115">
        <v>0</v>
      </c>
      <c r="AF31" s="115">
        <v>5.1529796781897704E-4</v>
      </c>
      <c r="AG31" s="115">
        <v>4.5282763509368303E-3</v>
      </c>
      <c r="AH31" s="115">
        <v>1.4630694311084901E-3</v>
      </c>
      <c r="AI31" s="115">
        <v>9.2819295047577501E-4</v>
      </c>
      <c r="AJ31" s="115">
        <v>6.9195387325210996E-3</v>
      </c>
      <c r="AK31" s="115">
        <v>1.64098990739284</v>
      </c>
      <c r="AL31" s="115">
        <v>0.15750820253682701</v>
      </c>
      <c r="AM31" s="115">
        <v>0</v>
      </c>
      <c r="AN31" s="115">
        <v>1.79849810992966</v>
      </c>
      <c r="AO31" s="115">
        <v>2.0633433406881101E-5</v>
      </c>
      <c r="AP31" s="115">
        <v>8.9362170915126302E-7</v>
      </c>
      <c r="AQ31" s="115">
        <v>0</v>
      </c>
      <c r="AR31" s="115">
        <v>2.15270551160324E-5</v>
      </c>
      <c r="AS31" s="115">
        <v>1.6749444568114701E-5</v>
      </c>
      <c r="AT31" s="115">
        <v>1.8192688375067199E-4</v>
      </c>
      <c r="AU31" s="115">
        <v>2.2020338343482001E-4</v>
      </c>
      <c r="AV31" s="115">
        <v>1.9740840211211201E-5</v>
      </c>
      <c r="AW31" s="115">
        <v>8.5496402958033301E-7</v>
      </c>
      <c r="AX31" s="115">
        <v>0</v>
      </c>
      <c r="AY31" s="115">
        <v>2.05958042407916E-5</v>
      </c>
      <c r="AZ31" s="115">
        <v>4.1873611420286803E-6</v>
      </c>
      <c r="BA31" s="115">
        <v>7.7968664464574098E-5</v>
      </c>
      <c r="BB31" s="115">
        <v>1.02751829847394E-4</v>
      </c>
      <c r="BC31" s="115">
        <v>1.5503258967443502E-5</v>
      </c>
      <c r="BD31" s="115">
        <v>1.4880593978207899E-6</v>
      </c>
      <c r="BE31" s="115">
        <v>0</v>
      </c>
      <c r="BF31" s="115">
        <v>1.69913183652643E-5</v>
      </c>
      <c r="BG31" s="115">
        <v>2.57940761312197E-4</v>
      </c>
      <c r="BH31" s="115">
        <v>2.47580960079233E-5</v>
      </c>
      <c r="BI31" s="115">
        <v>0</v>
      </c>
      <c r="BJ31" s="115">
        <v>2.8269885732012099E-4</v>
      </c>
      <c r="BK31" s="117">
        <v>0.16028760179872101</v>
      </c>
    </row>
    <row r="32" spans="2:63">
      <c r="B32" s="95" t="s">
        <v>264</v>
      </c>
      <c r="C32" s="106">
        <v>2015</v>
      </c>
      <c r="D32" s="106" t="s">
        <v>160</v>
      </c>
      <c r="E32" s="106" t="s">
        <v>131</v>
      </c>
      <c r="F32" s="106" t="s">
        <v>131</v>
      </c>
      <c r="G32" s="106" t="s">
        <v>146</v>
      </c>
      <c r="H32" s="106">
        <v>3.0999999999999899</v>
      </c>
      <c r="I32" s="115">
        <v>70.691769911491903</v>
      </c>
      <c r="J32" s="115">
        <v>13.639999999999899</v>
      </c>
      <c r="K32" s="115">
        <v>9.3453741715881207E-5</v>
      </c>
      <c r="L32" s="115">
        <v>1.3574533328446801E-5</v>
      </c>
      <c r="M32" s="115">
        <v>0</v>
      </c>
      <c r="N32" s="115">
        <v>1.07028275044328E-4</v>
      </c>
      <c r="O32" s="115">
        <v>0</v>
      </c>
      <c r="P32" s="115">
        <v>0</v>
      </c>
      <c r="Q32" s="115">
        <v>0</v>
      </c>
      <c r="R32" s="115">
        <v>0</v>
      </c>
      <c r="S32" s="115">
        <v>1.07028275044328E-4</v>
      </c>
      <c r="T32" s="115">
        <v>1.06389971124278E-4</v>
      </c>
      <c r="U32" s="115">
        <v>1.54535728834664E-5</v>
      </c>
      <c r="V32" s="115">
        <v>0</v>
      </c>
      <c r="W32" s="115">
        <v>1.21843544007744E-4</v>
      </c>
      <c r="X32" s="115">
        <v>0</v>
      </c>
      <c r="Y32" s="115">
        <v>0</v>
      </c>
      <c r="Z32" s="115">
        <v>0</v>
      </c>
      <c r="AA32" s="115">
        <v>0</v>
      </c>
      <c r="AB32" s="115">
        <v>1.21843544007744E-4</v>
      </c>
      <c r="AC32" s="115">
        <v>3.1858877866701403E-4</v>
      </c>
      <c r="AD32" s="115">
        <v>4.4523965265756601E-5</v>
      </c>
      <c r="AE32" s="115">
        <v>0</v>
      </c>
      <c r="AF32" s="115">
        <v>3.6311274393277E-4</v>
      </c>
      <c r="AG32" s="115">
        <v>1.3071720600916299E-3</v>
      </c>
      <c r="AH32" s="115">
        <v>8.5448181479324094E-5</v>
      </c>
      <c r="AI32" s="115">
        <v>0</v>
      </c>
      <c r="AJ32" s="115">
        <v>1.3926202415709501E-3</v>
      </c>
      <c r="AK32" s="115">
        <v>0.13072430884683101</v>
      </c>
      <c r="AL32" s="115">
        <v>5.7516636658635698E-3</v>
      </c>
      <c r="AM32" s="115">
        <v>0</v>
      </c>
      <c r="AN32" s="115">
        <v>0.136475972512695</v>
      </c>
      <c r="AO32" s="115">
        <v>5.8912252198350698E-5</v>
      </c>
      <c r="AP32" s="115">
        <v>2.40917015491707E-6</v>
      </c>
      <c r="AQ32" s="115">
        <v>0</v>
      </c>
      <c r="AR32" s="115">
        <v>6.1321422353267802E-5</v>
      </c>
      <c r="AS32" s="115">
        <v>2.8052761522572599E-6</v>
      </c>
      <c r="AT32" s="115">
        <v>4.8110486011212102E-6</v>
      </c>
      <c r="AU32" s="115">
        <v>6.8937747106646304E-5</v>
      </c>
      <c r="AV32" s="115">
        <v>5.6363734246108198E-5</v>
      </c>
      <c r="AW32" s="115">
        <v>2.3049505204488199E-6</v>
      </c>
      <c r="AX32" s="115">
        <v>0</v>
      </c>
      <c r="AY32" s="115">
        <v>5.8668684766557003E-5</v>
      </c>
      <c r="AZ32" s="115">
        <v>7.01319038064317E-7</v>
      </c>
      <c r="BA32" s="115">
        <v>2.0618779719090899E-6</v>
      </c>
      <c r="BB32" s="115">
        <v>6.1431881776530402E-5</v>
      </c>
      <c r="BC32" s="115">
        <v>1.2350184509132E-6</v>
      </c>
      <c r="BD32" s="115">
        <v>5.4338866378032E-8</v>
      </c>
      <c r="BE32" s="115">
        <v>0</v>
      </c>
      <c r="BF32" s="115">
        <v>1.28935731729123E-6</v>
      </c>
      <c r="BG32" s="115">
        <v>2.0548040907536399E-5</v>
      </c>
      <c r="BH32" s="115">
        <v>9.0408143164124696E-7</v>
      </c>
      <c r="BI32" s="115">
        <v>0</v>
      </c>
      <c r="BJ32" s="115">
        <v>2.1452122339177699E-5</v>
      </c>
      <c r="BK32" s="117">
        <v>1.2163152252666801E-2</v>
      </c>
    </row>
    <row r="33" spans="2:63">
      <c r="B33" s="95" t="s">
        <v>264</v>
      </c>
      <c r="C33" s="106">
        <v>2015</v>
      </c>
      <c r="D33" s="106" t="s">
        <v>159</v>
      </c>
      <c r="E33" s="106" t="s">
        <v>131</v>
      </c>
      <c r="F33" s="106" t="s">
        <v>131</v>
      </c>
      <c r="G33" s="106" t="s">
        <v>146</v>
      </c>
      <c r="H33" s="106">
        <v>55.620403803235902</v>
      </c>
      <c r="I33" s="115">
        <v>10667.834522572801</v>
      </c>
      <c r="J33" s="115">
        <v>812.057895527244</v>
      </c>
      <c r="K33" s="115">
        <v>3.5789486358601399E-3</v>
      </c>
      <c r="L33" s="115">
        <v>7.3543419992199105E-4</v>
      </c>
      <c r="M33" s="115">
        <v>0</v>
      </c>
      <c r="N33" s="115">
        <v>4.3143828357821304E-3</v>
      </c>
      <c r="O33" s="115">
        <v>0</v>
      </c>
      <c r="P33" s="115">
        <v>0</v>
      </c>
      <c r="Q33" s="115">
        <v>0</v>
      </c>
      <c r="R33" s="115">
        <v>0</v>
      </c>
      <c r="S33" s="115">
        <v>4.3143828357821304E-3</v>
      </c>
      <c r="T33" s="115">
        <v>4.0743605877444399E-3</v>
      </c>
      <c r="U33" s="115">
        <v>8.3723585441213997E-4</v>
      </c>
      <c r="V33" s="115">
        <v>0</v>
      </c>
      <c r="W33" s="115">
        <v>4.9115964421565803E-3</v>
      </c>
      <c r="X33" s="115">
        <v>0</v>
      </c>
      <c r="Y33" s="115">
        <v>0</v>
      </c>
      <c r="Z33" s="115">
        <v>0</v>
      </c>
      <c r="AA33" s="115">
        <v>0</v>
      </c>
      <c r="AB33" s="115">
        <v>4.9115964421565803E-3</v>
      </c>
      <c r="AC33" s="115">
        <v>1.19792193739853E-2</v>
      </c>
      <c r="AD33" s="115">
        <v>5.3791199297330101E-3</v>
      </c>
      <c r="AE33" s="115">
        <v>0</v>
      </c>
      <c r="AF33" s="115">
        <v>1.7358339303718402E-2</v>
      </c>
      <c r="AG33" s="115">
        <v>7.4891353960358995E-2</v>
      </c>
      <c r="AH33" s="115">
        <v>8.5969436796615797E-3</v>
      </c>
      <c r="AI33" s="115">
        <v>8.6935614626951901E-4</v>
      </c>
      <c r="AJ33" s="115">
        <v>8.4357653786290204E-2</v>
      </c>
      <c r="AK33" s="115">
        <v>18.4392614790458</v>
      </c>
      <c r="AL33" s="115">
        <v>1.4617377504336699</v>
      </c>
      <c r="AM33" s="115">
        <v>0</v>
      </c>
      <c r="AN33" s="115">
        <v>19.900999229479499</v>
      </c>
      <c r="AO33" s="115">
        <v>1.8461574300596801E-3</v>
      </c>
      <c r="AP33" s="115">
        <v>6.3070950292329505E-5</v>
      </c>
      <c r="AQ33" s="115">
        <v>0</v>
      </c>
      <c r="AR33" s="115">
        <v>1.9092283803520101E-3</v>
      </c>
      <c r="AS33" s="115">
        <v>4.2333388766286299E-4</v>
      </c>
      <c r="AT33" s="115">
        <v>7.2601761734181105E-4</v>
      </c>
      <c r="AU33" s="115">
        <v>3.0585798853566899E-3</v>
      </c>
      <c r="AV33" s="115">
        <v>1.76629347684784E-3</v>
      </c>
      <c r="AW33" s="115">
        <v>6.0342528901413903E-5</v>
      </c>
      <c r="AX33" s="115">
        <v>0</v>
      </c>
      <c r="AY33" s="115">
        <v>1.82663600574926E-3</v>
      </c>
      <c r="AZ33" s="115">
        <v>1.05833471915715E-4</v>
      </c>
      <c r="BA33" s="115">
        <v>3.1115040743220402E-4</v>
      </c>
      <c r="BB33" s="115">
        <v>2.2436198850971801E-3</v>
      </c>
      <c r="BC33" s="115">
        <v>1.7420499942759099E-4</v>
      </c>
      <c r="BD33" s="115">
        <v>1.38097734698843E-5</v>
      </c>
      <c r="BE33" s="115">
        <v>0</v>
      </c>
      <c r="BF33" s="115">
        <v>1.8801477289747599E-4</v>
      </c>
      <c r="BG33" s="115">
        <v>2.8983951226710099E-3</v>
      </c>
      <c r="BH33" s="115">
        <v>2.2976481847147601E-4</v>
      </c>
      <c r="BI33" s="115">
        <v>0</v>
      </c>
      <c r="BJ33" s="115">
        <v>3.1281599411424801E-3</v>
      </c>
      <c r="BK33" s="117">
        <v>1.7736373601283399</v>
      </c>
    </row>
    <row r="34" spans="2:63">
      <c r="B34" s="95" t="s">
        <v>264</v>
      </c>
      <c r="C34" s="106">
        <v>2015</v>
      </c>
      <c r="D34" s="106" t="s">
        <v>158</v>
      </c>
      <c r="E34" s="106" t="s">
        <v>131</v>
      </c>
      <c r="F34" s="106" t="s">
        <v>131</v>
      </c>
      <c r="G34" s="106" t="s">
        <v>146</v>
      </c>
      <c r="H34" s="106">
        <v>5.9718323426538999</v>
      </c>
      <c r="I34" s="115">
        <v>1214.5736662715101</v>
      </c>
      <c r="J34" s="115">
        <v>26.998421836830602</v>
      </c>
      <c r="K34" s="115">
        <v>1.04146009812747E-3</v>
      </c>
      <c r="L34" s="115">
        <v>1.10255133681488E-5</v>
      </c>
      <c r="M34" s="115">
        <v>0</v>
      </c>
      <c r="N34" s="115">
        <v>1.0524856114956199E-3</v>
      </c>
      <c r="O34" s="115">
        <v>0</v>
      </c>
      <c r="P34" s="115">
        <v>0</v>
      </c>
      <c r="Q34" s="115">
        <v>0</v>
      </c>
      <c r="R34" s="115">
        <v>0</v>
      </c>
      <c r="S34" s="115">
        <v>1.0524856114956199E-3</v>
      </c>
      <c r="T34" s="115">
        <v>1.1856230444333301E-3</v>
      </c>
      <c r="U34" s="115">
        <v>1.25517076933514E-5</v>
      </c>
      <c r="V34" s="115">
        <v>0</v>
      </c>
      <c r="W34" s="115">
        <v>1.1981747521266799E-3</v>
      </c>
      <c r="X34" s="115">
        <v>0</v>
      </c>
      <c r="Y34" s="115">
        <v>0</v>
      </c>
      <c r="Z34" s="115">
        <v>0</v>
      </c>
      <c r="AA34" s="115">
        <v>0</v>
      </c>
      <c r="AB34" s="115">
        <v>1.1981747521266799E-3</v>
      </c>
      <c r="AC34" s="115">
        <v>2.5353190649994601E-3</v>
      </c>
      <c r="AD34" s="115">
        <v>9.8032365159607805E-5</v>
      </c>
      <c r="AE34" s="115">
        <v>0</v>
      </c>
      <c r="AF34" s="115">
        <v>2.6333514301590602E-3</v>
      </c>
      <c r="AG34" s="115">
        <v>1.1178779496379999E-2</v>
      </c>
      <c r="AH34" s="115">
        <v>1.7796262129431099E-4</v>
      </c>
      <c r="AI34" s="115">
        <v>5.90922904021346E-5</v>
      </c>
      <c r="AJ34" s="115">
        <v>1.1415834408076499E-2</v>
      </c>
      <c r="AK34" s="115">
        <v>2.6527978745278502</v>
      </c>
      <c r="AL34" s="115">
        <v>2.4199760097642801E-2</v>
      </c>
      <c r="AM34" s="115">
        <v>0</v>
      </c>
      <c r="AN34" s="115">
        <v>2.67699763462549</v>
      </c>
      <c r="AO34" s="115">
        <v>2.38407054659467E-4</v>
      </c>
      <c r="AP34" s="115">
        <v>5.6979208207596901E-7</v>
      </c>
      <c r="AQ34" s="115">
        <v>0</v>
      </c>
      <c r="AR34" s="115">
        <v>2.3897684674154299E-4</v>
      </c>
      <c r="AS34" s="115">
        <v>4.8198178450151698E-5</v>
      </c>
      <c r="AT34" s="115">
        <v>8.2659876042010197E-5</v>
      </c>
      <c r="AU34" s="115">
        <v>3.69834901233705E-4</v>
      </c>
      <c r="AV34" s="115">
        <v>2.28093671007196E-4</v>
      </c>
      <c r="AW34" s="115">
        <v>5.4514312882720998E-7</v>
      </c>
      <c r="AX34" s="115">
        <v>0</v>
      </c>
      <c r="AY34" s="115">
        <v>2.2863881413602401E-4</v>
      </c>
      <c r="AZ34" s="115">
        <v>1.2049544612537901E-5</v>
      </c>
      <c r="BA34" s="115">
        <v>3.5425661160861499E-5</v>
      </c>
      <c r="BB34" s="115">
        <v>2.7611401990942301E-4</v>
      </c>
      <c r="BC34" s="115">
        <v>2.5062318940419598E-5</v>
      </c>
      <c r="BD34" s="115">
        <v>2.28627334058277E-7</v>
      </c>
      <c r="BE34" s="115">
        <v>0</v>
      </c>
      <c r="BF34" s="115">
        <v>2.5290946274477901E-5</v>
      </c>
      <c r="BG34" s="115">
        <v>4.1698288349026699E-4</v>
      </c>
      <c r="BH34" s="115">
        <v>3.80386528584799E-6</v>
      </c>
      <c r="BI34" s="115">
        <v>0</v>
      </c>
      <c r="BJ34" s="115">
        <v>4.2078674877611498E-4</v>
      </c>
      <c r="BK34" s="117">
        <v>0.23858214168028699</v>
      </c>
    </row>
    <row r="35" spans="2:63">
      <c r="B35" s="95" t="s">
        <v>264</v>
      </c>
      <c r="C35" s="106">
        <v>2015</v>
      </c>
      <c r="D35" s="106" t="s">
        <v>157</v>
      </c>
      <c r="E35" s="106" t="s">
        <v>131</v>
      </c>
      <c r="F35" s="106" t="s">
        <v>131</v>
      </c>
      <c r="G35" s="106" t="s">
        <v>146</v>
      </c>
      <c r="H35" s="106">
        <v>65.071693179896599</v>
      </c>
      <c r="I35" s="115">
        <v>13000.273594414401</v>
      </c>
      <c r="J35" s="115">
        <v>950.04672042649099</v>
      </c>
      <c r="K35" s="115">
        <v>3.7121225882358398E-3</v>
      </c>
      <c r="L35" s="115">
        <v>1.08260833769042E-3</v>
      </c>
      <c r="M35" s="115">
        <v>0</v>
      </c>
      <c r="N35" s="115">
        <v>4.7947309259262598E-3</v>
      </c>
      <c r="O35" s="115">
        <v>0</v>
      </c>
      <c r="P35" s="115">
        <v>0</v>
      </c>
      <c r="Q35" s="115">
        <v>0</v>
      </c>
      <c r="R35" s="115">
        <v>0</v>
      </c>
      <c r="S35" s="115">
        <v>4.7947309259262598E-3</v>
      </c>
      <c r="T35" s="115">
        <v>4.2259689951513104E-3</v>
      </c>
      <c r="U35" s="115">
        <v>1.23246718291873E-3</v>
      </c>
      <c r="V35" s="115">
        <v>0</v>
      </c>
      <c r="W35" s="115">
        <v>5.4584361780700402E-3</v>
      </c>
      <c r="X35" s="115">
        <v>0</v>
      </c>
      <c r="Y35" s="115">
        <v>0</v>
      </c>
      <c r="Z35" s="115">
        <v>0</v>
      </c>
      <c r="AA35" s="115">
        <v>0</v>
      </c>
      <c r="AB35" s="115">
        <v>5.4584361780700402E-3</v>
      </c>
      <c r="AC35" s="115">
        <v>1.35337040110187E-2</v>
      </c>
      <c r="AD35" s="115">
        <v>9.3197080876893101E-3</v>
      </c>
      <c r="AE35" s="115">
        <v>0</v>
      </c>
      <c r="AF35" s="115">
        <v>2.2853412098708E-2</v>
      </c>
      <c r="AG35" s="115">
        <v>7.2979528376180006E-2</v>
      </c>
      <c r="AH35" s="115">
        <v>1.0659582367959801E-2</v>
      </c>
      <c r="AI35" s="115">
        <v>1.3690639990586301E-3</v>
      </c>
      <c r="AJ35" s="115">
        <v>8.5008174743198495E-2</v>
      </c>
      <c r="AK35" s="115">
        <v>21.848294782340002</v>
      </c>
      <c r="AL35" s="115">
        <v>2.0267541484008098</v>
      </c>
      <c r="AM35" s="115">
        <v>0</v>
      </c>
      <c r="AN35" s="115">
        <v>23.8750489307408</v>
      </c>
      <c r="AO35" s="115">
        <v>2.2272471340093101E-3</v>
      </c>
      <c r="AP35" s="115">
        <v>9.4534098069507796E-5</v>
      </c>
      <c r="AQ35" s="115">
        <v>0</v>
      </c>
      <c r="AR35" s="115">
        <v>2.3217812320788199E-3</v>
      </c>
      <c r="AS35" s="115">
        <v>5.1589255061645098E-4</v>
      </c>
      <c r="AT35" s="115">
        <v>8.8475572430721304E-4</v>
      </c>
      <c r="AU35" s="115">
        <v>3.7224295070024801E-3</v>
      </c>
      <c r="AV35" s="115">
        <v>2.1308974088962299E-3</v>
      </c>
      <c r="AW35" s="115">
        <v>9.0444594833100504E-5</v>
      </c>
      <c r="AX35" s="115">
        <v>0</v>
      </c>
      <c r="AY35" s="115">
        <v>2.2213420037293301E-3</v>
      </c>
      <c r="AZ35" s="115">
        <v>1.2897313765411201E-4</v>
      </c>
      <c r="BA35" s="115">
        <v>3.79181024703091E-4</v>
      </c>
      <c r="BB35" s="115">
        <v>2.72949616608654E-3</v>
      </c>
      <c r="BC35" s="115">
        <v>2.06411855722995E-4</v>
      </c>
      <c r="BD35" s="115">
        <v>1.91477682369903E-5</v>
      </c>
      <c r="BE35" s="115">
        <v>0</v>
      </c>
      <c r="BF35" s="115">
        <v>2.2555962395998599E-4</v>
      </c>
      <c r="BG35" s="115">
        <v>3.4342476843649298E-3</v>
      </c>
      <c r="BH35" s="115">
        <v>3.1857752791529601E-4</v>
      </c>
      <c r="BI35" s="115">
        <v>0</v>
      </c>
      <c r="BJ35" s="115">
        <v>3.7528252122802299E-3</v>
      </c>
      <c r="BK35" s="117">
        <v>2.1278167126265202</v>
      </c>
    </row>
    <row r="36" spans="2:63">
      <c r="B36" s="95" t="s">
        <v>264</v>
      </c>
      <c r="C36" s="106">
        <v>2015</v>
      </c>
      <c r="D36" s="106" t="s">
        <v>156</v>
      </c>
      <c r="E36" s="106" t="s">
        <v>131</v>
      </c>
      <c r="F36" s="106" t="s">
        <v>131</v>
      </c>
      <c r="G36" s="106" t="s">
        <v>146</v>
      </c>
      <c r="H36" s="106">
        <v>21.842544992633801</v>
      </c>
      <c r="I36" s="115">
        <v>4191.8159477116697</v>
      </c>
      <c r="J36" s="115">
        <v>318.90115689245403</v>
      </c>
      <c r="K36" s="115">
        <v>1.41721975872197E-3</v>
      </c>
      <c r="L36" s="115">
        <v>3.6130982266808598E-4</v>
      </c>
      <c r="M36" s="115">
        <v>0</v>
      </c>
      <c r="N36" s="115">
        <v>1.7785295813900601E-3</v>
      </c>
      <c r="O36" s="115">
        <v>0</v>
      </c>
      <c r="P36" s="115">
        <v>0</v>
      </c>
      <c r="Q36" s="115">
        <v>0</v>
      </c>
      <c r="R36" s="115">
        <v>0</v>
      </c>
      <c r="S36" s="115">
        <v>1.7785295813900601E-3</v>
      </c>
      <c r="T36" s="115">
        <v>1.6133968147105701E-3</v>
      </c>
      <c r="U36" s="115">
        <v>4.1132372973829801E-4</v>
      </c>
      <c r="V36" s="115">
        <v>0</v>
      </c>
      <c r="W36" s="115">
        <v>2.0247205444488699E-3</v>
      </c>
      <c r="X36" s="115">
        <v>0</v>
      </c>
      <c r="Y36" s="115">
        <v>0</v>
      </c>
      <c r="Z36" s="115">
        <v>0</v>
      </c>
      <c r="AA36" s="115">
        <v>0</v>
      </c>
      <c r="AB36" s="115">
        <v>2.0247205444488699E-3</v>
      </c>
      <c r="AC36" s="115">
        <v>4.7413425071518699E-3</v>
      </c>
      <c r="AD36" s="115">
        <v>2.6152305041932801E-3</v>
      </c>
      <c r="AE36" s="115">
        <v>0</v>
      </c>
      <c r="AF36" s="115">
        <v>7.3565730113451496E-3</v>
      </c>
      <c r="AG36" s="115">
        <v>2.9427514127628101E-2</v>
      </c>
      <c r="AH36" s="115">
        <v>4.1529134341819198E-3</v>
      </c>
      <c r="AI36" s="115">
        <v>3.4138720302985401E-4</v>
      </c>
      <c r="AJ36" s="115">
        <v>3.3921814764839901E-2</v>
      </c>
      <c r="AK36" s="115">
        <v>7.2453106938319802</v>
      </c>
      <c r="AL36" s="115">
        <v>0.71235148429558404</v>
      </c>
      <c r="AM36" s="115">
        <v>0</v>
      </c>
      <c r="AN36" s="115">
        <v>7.9576621781275598</v>
      </c>
      <c r="AO36" s="115">
        <v>7.3099149974513596E-4</v>
      </c>
      <c r="AP36" s="115">
        <v>3.1577518443332901E-5</v>
      </c>
      <c r="AQ36" s="115">
        <v>0</v>
      </c>
      <c r="AR36" s="115">
        <v>7.6256901818846901E-4</v>
      </c>
      <c r="AS36" s="115">
        <v>1.66344700769129E-4</v>
      </c>
      <c r="AT36" s="115">
        <v>2.8528116181905601E-4</v>
      </c>
      <c r="AU36" s="115">
        <v>1.21419488077665E-3</v>
      </c>
      <c r="AV36" s="115">
        <v>6.9936913104388801E-4</v>
      </c>
      <c r="AW36" s="115">
        <v>3.02114889734502E-5</v>
      </c>
      <c r="AX36" s="115">
        <v>0</v>
      </c>
      <c r="AY36" s="115">
        <v>7.29580620017338E-4</v>
      </c>
      <c r="AZ36" s="115">
        <v>4.1586175192282303E-5</v>
      </c>
      <c r="BA36" s="115">
        <v>1.2226335506531E-4</v>
      </c>
      <c r="BB36" s="115">
        <v>8.9343015027493102E-4</v>
      </c>
      <c r="BC36" s="115">
        <v>6.8450102879990006E-5</v>
      </c>
      <c r="BD36" s="115">
        <v>6.7299436072847403E-6</v>
      </c>
      <c r="BE36" s="115">
        <v>0</v>
      </c>
      <c r="BF36" s="115">
        <v>7.5180046487274799E-5</v>
      </c>
      <c r="BG36" s="115">
        <v>1.1388619441783201E-3</v>
      </c>
      <c r="BH36" s="115">
        <v>1.11971733252768E-4</v>
      </c>
      <c r="BI36" s="115">
        <v>0</v>
      </c>
      <c r="BJ36" s="115">
        <v>1.25083367743109E-3</v>
      </c>
      <c r="BK36" s="117">
        <v>0.70921096853770604</v>
      </c>
    </row>
    <row r="37" spans="2:63">
      <c r="B37" s="95" t="s">
        <v>264</v>
      </c>
      <c r="C37" s="106">
        <v>2015</v>
      </c>
      <c r="D37" s="106" t="s">
        <v>155</v>
      </c>
      <c r="E37" s="106" t="s">
        <v>131</v>
      </c>
      <c r="F37" s="106" t="s">
        <v>131</v>
      </c>
      <c r="G37" s="106" t="s">
        <v>146</v>
      </c>
      <c r="H37" s="106">
        <v>7.4745334639925201</v>
      </c>
      <c r="I37" s="115">
        <v>1113.1600036669699</v>
      </c>
      <c r="J37" s="115">
        <v>56.8064543263432</v>
      </c>
      <c r="K37" s="115">
        <v>3.9429677970269101E-4</v>
      </c>
      <c r="L37" s="115">
        <v>1.3620091029505501E-5</v>
      </c>
      <c r="M37" s="115">
        <v>0</v>
      </c>
      <c r="N37" s="115">
        <v>4.0791687073219601E-4</v>
      </c>
      <c r="O37" s="115">
        <v>0</v>
      </c>
      <c r="P37" s="115">
        <v>0</v>
      </c>
      <c r="Q37" s="115">
        <v>0</v>
      </c>
      <c r="R37" s="115">
        <v>0</v>
      </c>
      <c r="S37" s="115">
        <v>4.0791687073219601E-4</v>
      </c>
      <c r="T37" s="115">
        <v>4.4887686931251598E-4</v>
      </c>
      <c r="U37" s="115">
        <v>1.55054368582107E-5</v>
      </c>
      <c r="V37" s="115">
        <v>0</v>
      </c>
      <c r="W37" s="115">
        <v>4.6438230617072598E-4</v>
      </c>
      <c r="X37" s="115">
        <v>0</v>
      </c>
      <c r="Y37" s="115">
        <v>0</v>
      </c>
      <c r="Z37" s="115">
        <v>0</v>
      </c>
      <c r="AA37" s="115">
        <v>0</v>
      </c>
      <c r="AB37" s="115">
        <v>4.6438230617072598E-4</v>
      </c>
      <c r="AC37" s="115">
        <v>1.21907214116452E-3</v>
      </c>
      <c r="AD37" s="115">
        <v>1.1443546308402401E-4</v>
      </c>
      <c r="AE37" s="115">
        <v>0</v>
      </c>
      <c r="AF37" s="115">
        <v>1.3335076042485499E-3</v>
      </c>
      <c r="AG37" s="115">
        <v>8.0540105503944092E-3</v>
      </c>
      <c r="AH37" s="115">
        <v>2.9969580879778498E-4</v>
      </c>
      <c r="AI37" s="115">
        <v>4.4405726707336999E-5</v>
      </c>
      <c r="AJ37" s="115">
        <v>8.3981120858995402E-3</v>
      </c>
      <c r="AK37" s="115">
        <v>2.4118570161205999</v>
      </c>
      <c r="AL37" s="115">
        <v>4.0663639009310998E-2</v>
      </c>
      <c r="AM37" s="115">
        <v>0</v>
      </c>
      <c r="AN37" s="115">
        <v>2.4525206551299101</v>
      </c>
      <c r="AO37" s="115">
        <v>4.3862582388645299E-5</v>
      </c>
      <c r="AP37" s="115">
        <v>1.069149080918E-7</v>
      </c>
      <c r="AQ37" s="115">
        <v>0</v>
      </c>
      <c r="AR37" s="115">
        <v>4.39694972967371E-5</v>
      </c>
      <c r="AS37" s="115">
        <v>4.4173759064786699E-5</v>
      </c>
      <c r="AT37" s="115">
        <v>7.5757996796109195E-5</v>
      </c>
      <c r="AU37" s="115">
        <v>1.63901253157633E-4</v>
      </c>
      <c r="AV37" s="115">
        <v>4.19651064905449E-5</v>
      </c>
      <c r="AW37" s="115">
        <v>1.02289816494268E-7</v>
      </c>
      <c r="AX37" s="115">
        <v>0</v>
      </c>
      <c r="AY37" s="115">
        <v>4.2067396307039203E-5</v>
      </c>
      <c r="AZ37" s="115">
        <v>1.10434397661966E-5</v>
      </c>
      <c r="BA37" s="115">
        <v>3.24677129126182E-5</v>
      </c>
      <c r="BB37" s="115">
        <v>8.5578548985854199E-5</v>
      </c>
      <c r="BC37" s="115">
        <v>2.2786029179649299E-5</v>
      </c>
      <c r="BD37" s="115">
        <v>3.8416989847401301E-7</v>
      </c>
      <c r="BE37" s="115">
        <v>0</v>
      </c>
      <c r="BF37" s="115">
        <v>2.31701990781233E-5</v>
      </c>
      <c r="BG37" s="115">
        <v>3.7911033584765502E-4</v>
      </c>
      <c r="BH37" s="115">
        <v>6.39175777774916E-6</v>
      </c>
      <c r="BI37" s="115">
        <v>0</v>
      </c>
      <c r="BJ37" s="115">
        <v>3.85502093625404E-4</v>
      </c>
      <c r="BK37" s="117">
        <v>0.21857607300347601</v>
      </c>
    </row>
    <row r="38" spans="2:63">
      <c r="B38" s="95" t="s">
        <v>264</v>
      </c>
      <c r="C38" s="106">
        <v>2015</v>
      </c>
      <c r="D38" s="106" t="s">
        <v>154</v>
      </c>
      <c r="E38" s="106" t="s">
        <v>131</v>
      </c>
      <c r="F38" s="106" t="s">
        <v>131</v>
      </c>
      <c r="G38" s="106" t="s">
        <v>146</v>
      </c>
      <c r="H38" s="106">
        <v>51.639999999948301</v>
      </c>
      <c r="I38" s="115">
        <v>5399.7694073785397</v>
      </c>
      <c r="J38" s="115">
        <v>392.46399999960698</v>
      </c>
      <c r="K38" s="115">
        <v>2.07657652529906E-3</v>
      </c>
      <c r="L38" s="115">
        <v>1.5024527543983001E-4</v>
      </c>
      <c r="M38" s="115">
        <v>0</v>
      </c>
      <c r="N38" s="115">
        <v>2.22682180073889E-3</v>
      </c>
      <c r="O38" s="115">
        <v>0</v>
      </c>
      <c r="P38" s="115">
        <v>0</v>
      </c>
      <c r="Q38" s="115">
        <v>0</v>
      </c>
      <c r="R38" s="115">
        <v>0</v>
      </c>
      <c r="S38" s="115">
        <v>2.22682180073889E-3</v>
      </c>
      <c r="T38" s="115">
        <v>2.36402430237181E-3</v>
      </c>
      <c r="U38" s="115">
        <v>1.7104280922426E-4</v>
      </c>
      <c r="V38" s="115">
        <v>0</v>
      </c>
      <c r="W38" s="115">
        <v>2.5350671115960698E-3</v>
      </c>
      <c r="X38" s="115">
        <v>0</v>
      </c>
      <c r="Y38" s="115">
        <v>0</v>
      </c>
      <c r="Z38" s="115">
        <v>0</v>
      </c>
      <c r="AA38" s="115">
        <v>0</v>
      </c>
      <c r="AB38" s="115">
        <v>2.5350671115960698E-3</v>
      </c>
      <c r="AC38" s="115">
        <v>6.2857890210411297E-3</v>
      </c>
      <c r="AD38" s="115">
        <v>1.26235482816505E-3</v>
      </c>
      <c r="AE38" s="115">
        <v>0</v>
      </c>
      <c r="AF38" s="115">
        <v>7.5481438492061804E-3</v>
      </c>
      <c r="AG38" s="115">
        <v>4.1173686344140203E-2</v>
      </c>
      <c r="AH38" s="115">
        <v>3.3059896034058102E-3</v>
      </c>
      <c r="AI38" s="115">
        <v>3.0678994725374102E-4</v>
      </c>
      <c r="AJ38" s="115">
        <v>4.4786465894799697E-2</v>
      </c>
      <c r="AK38" s="115">
        <v>11.796097031083599</v>
      </c>
      <c r="AL38" s="115">
        <v>0.44856672617712801</v>
      </c>
      <c r="AM38" s="115">
        <v>0</v>
      </c>
      <c r="AN38" s="115">
        <v>12.2446637572607</v>
      </c>
      <c r="AO38" s="115">
        <v>2.2753008261803E-4</v>
      </c>
      <c r="AP38" s="115">
        <v>1.17939445339081E-6</v>
      </c>
      <c r="AQ38" s="115">
        <v>0</v>
      </c>
      <c r="AR38" s="115">
        <v>2.2870947707142E-4</v>
      </c>
      <c r="AS38" s="115">
        <v>2.1428016818892599E-4</v>
      </c>
      <c r="AT38" s="115">
        <v>3.6749048844400897E-4</v>
      </c>
      <c r="AU38" s="115">
        <v>8.10480133704356E-4</v>
      </c>
      <c r="AV38" s="115">
        <v>2.1768723196151501E-4</v>
      </c>
      <c r="AW38" s="115">
        <v>1.1283743714030801E-6</v>
      </c>
      <c r="AX38" s="115">
        <v>0</v>
      </c>
      <c r="AY38" s="115">
        <v>2.1881560633291801E-4</v>
      </c>
      <c r="AZ38" s="115">
        <v>5.3570042047231599E-5</v>
      </c>
      <c r="BA38" s="115">
        <v>1.5749592361886101E-4</v>
      </c>
      <c r="BB38" s="115">
        <v>4.29881571999011E-4</v>
      </c>
      <c r="BC38" s="115">
        <v>1.1144367570702E-4</v>
      </c>
      <c r="BD38" s="115">
        <v>4.2378360090898304E-6</v>
      </c>
      <c r="BE38" s="115">
        <v>0</v>
      </c>
      <c r="BF38" s="115">
        <v>1.1568151171611E-4</v>
      </c>
      <c r="BG38" s="115">
        <v>1.8541821829632201E-3</v>
      </c>
      <c r="BH38" s="115">
        <v>7.0508442695589303E-5</v>
      </c>
      <c r="BI38" s="115">
        <v>0</v>
      </c>
      <c r="BJ38" s="115">
        <v>1.9246906256588101E-3</v>
      </c>
      <c r="BK38" s="117">
        <v>1.09128154077393</v>
      </c>
    </row>
    <row r="39" spans="2:63">
      <c r="B39" s="95" t="s">
        <v>264</v>
      </c>
      <c r="C39" s="106">
        <v>2015</v>
      </c>
      <c r="D39" s="106" t="s">
        <v>153</v>
      </c>
      <c r="E39" s="106" t="s">
        <v>131</v>
      </c>
      <c r="F39" s="106" t="s">
        <v>131</v>
      </c>
      <c r="G39" s="106" t="s">
        <v>146</v>
      </c>
      <c r="H39" s="106">
        <v>305.30999999999898</v>
      </c>
      <c r="I39" s="115">
        <v>6152.8980289542196</v>
      </c>
      <c r="J39" s="115">
        <v>926.10699907389198</v>
      </c>
      <c r="K39" s="115">
        <v>1.4474053941807201E-3</v>
      </c>
      <c r="L39" s="115">
        <v>4.2102267615335499E-4</v>
      </c>
      <c r="M39" s="115">
        <v>0</v>
      </c>
      <c r="N39" s="115">
        <v>1.86842807033408E-3</v>
      </c>
      <c r="O39" s="115">
        <v>0</v>
      </c>
      <c r="P39" s="115">
        <v>0</v>
      </c>
      <c r="Q39" s="115">
        <v>0</v>
      </c>
      <c r="R39" s="115">
        <v>0</v>
      </c>
      <c r="S39" s="115">
        <v>1.86842807033408E-3</v>
      </c>
      <c r="T39" s="115">
        <v>1.6477608629108899E-3</v>
      </c>
      <c r="U39" s="115">
        <v>4.7930226801191699E-4</v>
      </c>
      <c r="V39" s="115">
        <v>0</v>
      </c>
      <c r="W39" s="115">
        <v>2.1270631309228101E-3</v>
      </c>
      <c r="X39" s="115">
        <v>0</v>
      </c>
      <c r="Y39" s="115">
        <v>0</v>
      </c>
      <c r="Z39" s="115">
        <v>0</v>
      </c>
      <c r="AA39" s="115">
        <v>0</v>
      </c>
      <c r="AB39" s="115">
        <v>2.1270631309228101E-3</v>
      </c>
      <c r="AC39" s="115">
        <v>4.5031240477450803E-3</v>
      </c>
      <c r="AD39" s="115">
        <v>1.8952778462388801E-3</v>
      </c>
      <c r="AE39" s="115">
        <v>0</v>
      </c>
      <c r="AF39" s="115">
        <v>6.3984018939839699E-3</v>
      </c>
      <c r="AG39" s="115">
        <v>0.114726206567298</v>
      </c>
      <c r="AH39" s="115">
        <v>1.5077097446102901E-2</v>
      </c>
      <c r="AI39" s="115">
        <v>5.6520025932313596E-4</v>
      </c>
      <c r="AJ39" s="115">
        <v>0.13036850427272401</v>
      </c>
      <c r="AK39" s="115">
        <v>13.6971374551095</v>
      </c>
      <c r="AL39" s="115">
        <v>1.17298037089463</v>
      </c>
      <c r="AM39" s="115">
        <v>0</v>
      </c>
      <c r="AN39" s="115">
        <v>14.870117826004099</v>
      </c>
      <c r="AO39" s="115">
        <v>7.3906434204718604E-4</v>
      </c>
      <c r="AP39" s="115">
        <v>6.03852164864829E-5</v>
      </c>
      <c r="AQ39" s="115">
        <v>0</v>
      </c>
      <c r="AR39" s="115">
        <v>7.99449558533669E-4</v>
      </c>
      <c r="AS39" s="115">
        <v>2.4416672732210199E-4</v>
      </c>
      <c r="AT39" s="115">
        <v>4.1874593735740398E-4</v>
      </c>
      <c r="AU39" s="115">
        <v>1.46236222321317E-3</v>
      </c>
      <c r="AV39" s="115">
        <v>7.0709274576144195E-4</v>
      </c>
      <c r="AW39" s="115">
        <v>5.7772978751152101E-5</v>
      </c>
      <c r="AX39" s="115">
        <v>0</v>
      </c>
      <c r="AY39" s="115">
        <v>7.6486572451259401E-4</v>
      </c>
      <c r="AZ39" s="115">
        <v>6.1041681830525498E-5</v>
      </c>
      <c r="BA39" s="115">
        <v>1.7946254458174501E-4</v>
      </c>
      <c r="BB39" s="115">
        <v>1.00536995092486E-3</v>
      </c>
      <c r="BC39" s="115">
        <v>1.2940376301071201E-4</v>
      </c>
      <c r="BD39" s="115">
        <v>1.10817369270719E-5</v>
      </c>
      <c r="BE39" s="115">
        <v>0</v>
      </c>
      <c r="BF39" s="115">
        <v>1.40485499937784E-4</v>
      </c>
      <c r="BG39" s="115">
        <v>2.1529992640734602E-3</v>
      </c>
      <c r="BH39" s="115">
        <v>1.8437617959121E-4</v>
      </c>
      <c r="BI39" s="115">
        <v>0</v>
      </c>
      <c r="BJ39" s="115">
        <v>2.3373754436646701E-3</v>
      </c>
      <c r="BK39" s="117">
        <v>1.32526996366308</v>
      </c>
    </row>
    <row r="40" spans="2:63">
      <c r="B40" s="95" t="s">
        <v>264</v>
      </c>
      <c r="C40" s="106">
        <v>2015</v>
      </c>
      <c r="D40" s="106" t="s">
        <v>152</v>
      </c>
      <c r="E40" s="106" t="s">
        <v>131</v>
      </c>
      <c r="F40" s="106" t="s">
        <v>131</v>
      </c>
      <c r="G40" s="106" t="s">
        <v>146</v>
      </c>
      <c r="H40" s="106">
        <v>274.469999999999</v>
      </c>
      <c r="I40" s="115">
        <v>16298.3484857085</v>
      </c>
      <c r="J40" s="115">
        <v>3167.3457461827102</v>
      </c>
      <c r="K40" s="115">
        <v>1.2615829234263701E-2</v>
      </c>
      <c r="L40" s="115">
        <v>7.8938488662688299E-4</v>
      </c>
      <c r="M40" s="115">
        <v>0</v>
      </c>
      <c r="N40" s="115">
        <v>1.34052141208906E-2</v>
      </c>
      <c r="O40" s="115">
        <v>0</v>
      </c>
      <c r="P40" s="115">
        <v>0</v>
      </c>
      <c r="Q40" s="115">
        <v>0</v>
      </c>
      <c r="R40" s="115">
        <v>0</v>
      </c>
      <c r="S40" s="115">
        <v>1.34052141208906E-2</v>
      </c>
      <c r="T40" s="115">
        <v>1.436216125003E-2</v>
      </c>
      <c r="U40" s="115">
        <v>8.9865460442986199E-4</v>
      </c>
      <c r="V40" s="115">
        <v>0</v>
      </c>
      <c r="W40" s="115">
        <v>1.5260815854459899E-2</v>
      </c>
      <c r="X40" s="115">
        <v>0</v>
      </c>
      <c r="Y40" s="115">
        <v>0</v>
      </c>
      <c r="Z40" s="115">
        <v>0</v>
      </c>
      <c r="AA40" s="115">
        <v>0</v>
      </c>
      <c r="AB40" s="115">
        <v>1.5260815854459899E-2</v>
      </c>
      <c r="AC40" s="115">
        <v>4.0066192868441902E-2</v>
      </c>
      <c r="AD40" s="115">
        <v>5.1511287321339702E-3</v>
      </c>
      <c r="AE40" s="115">
        <v>0</v>
      </c>
      <c r="AF40" s="115">
        <v>4.5217321600575899E-2</v>
      </c>
      <c r="AG40" s="115">
        <v>0.17690967746928099</v>
      </c>
      <c r="AH40" s="115">
        <v>9.5142514287741304E-3</v>
      </c>
      <c r="AI40" s="115">
        <v>3.55349420381226E-3</v>
      </c>
      <c r="AJ40" s="115">
        <v>0.18997742310186699</v>
      </c>
      <c r="AK40" s="115">
        <v>31.060644724556202</v>
      </c>
      <c r="AL40" s="115">
        <v>1.0770670397709901</v>
      </c>
      <c r="AM40" s="115">
        <v>0</v>
      </c>
      <c r="AN40" s="115">
        <v>32.1377117643272</v>
      </c>
      <c r="AO40" s="115">
        <v>5.7978989297480304E-3</v>
      </c>
      <c r="AP40" s="115">
        <v>8.2646332947930004E-5</v>
      </c>
      <c r="AQ40" s="115">
        <v>0</v>
      </c>
      <c r="AR40" s="115">
        <v>5.8805452626959596E-3</v>
      </c>
      <c r="AS40" s="115">
        <v>6.4677073986662203E-4</v>
      </c>
      <c r="AT40" s="115">
        <v>1.10921181887125E-3</v>
      </c>
      <c r="AU40" s="115">
        <v>7.6365278214338399E-3</v>
      </c>
      <c r="AV40" s="115">
        <v>5.5470843885215004E-3</v>
      </c>
      <c r="AW40" s="115">
        <v>7.9071089168492403E-5</v>
      </c>
      <c r="AX40" s="115">
        <v>0</v>
      </c>
      <c r="AY40" s="115">
        <v>5.6261554776899899E-3</v>
      </c>
      <c r="AZ40" s="115">
        <v>1.6169268496665499E-4</v>
      </c>
      <c r="BA40" s="115">
        <v>4.7537649380196699E-4</v>
      </c>
      <c r="BB40" s="115">
        <v>6.2632246564586196E-3</v>
      </c>
      <c r="BC40" s="115">
        <v>2.93445570073988E-4</v>
      </c>
      <c r="BD40" s="115">
        <v>1.0175595332817699E-5</v>
      </c>
      <c r="BE40" s="115">
        <v>0</v>
      </c>
      <c r="BF40" s="115">
        <v>3.0362116540680599E-4</v>
      </c>
      <c r="BG40" s="115">
        <v>4.8823008057549003E-3</v>
      </c>
      <c r="BH40" s="115">
        <v>1.6929993961035199E-4</v>
      </c>
      <c r="BI40" s="115">
        <v>0</v>
      </c>
      <c r="BJ40" s="115">
        <v>5.0516007453652503E-3</v>
      </c>
      <c r="BK40" s="117">
        <v>2.8642102638651101</v>
      </c>
    </row>
    <row r="41" spans="2:63">
      <c r="B41" s="95" t="s">
        <v>264</v>
      </c>
      <c r="C41" s="106">
        <v>2015</v>
      </c>
      <c r="D41" s="106" t="s">
        <v>151</v>
      </c>
      <c r="E41" s="106" t="s">
        <v>131</v>
      </c>
      <c r="F41" s="106" t="s">
        <v>131</v>
      </c>
      <c r="G41" s="106" t="s">
        <v>146</v>
      </c>
      <c r="H41" s="106">
        <v>49.6534093960977</v>
      </c>
      <c r="I41" s="115">
        <v>3013.1338691310498</v>
      </c>
      <c r="J41" s="115">
        <v>224.48113335963899</v>
      </c>
      <c r="K41" s="115">
        <v>5.2964471199661804E-3</v>
      </c>
      <c r="L41" s="115">
        <v>1.3893780575138499E-4</v>
      </c>
      <c r="M41" s="115">
        <v>0</v>
      </c>
      <c r="N41" s="115">
        <v>5.43538492571757E-3</v>
      </c>
      <c r="O41" s="115">
        <v>0</v>
      </c>
      <c r="P41" s="115">
        <v>0</v>
      </c>
      <c r="Q41" s="115">
        <v>0</v>
      </c>
      <c r="R41" s="115">
        <v>0</v>
      </c>
      <c r="S41" s="115">
        <v>5.43538492571757E-3</v>
      </c>
      <c r="T41" s="115">
        <v>6.0296018737012397E-3</v>
      </c>
      <c r="U41" s="115">
        <v>1.5817011572313001E-4</v>
      </c>
      <c r="V41" s="115">
        <v>0</v>
      </c>
      <c r="W41" s="115">
        <v>6.1877719894243696E-3</v>
      </c>
      <c r="X41" s="115">
        <v>0</v>
      </c>
      <c r="Y41" s="115">
        <v>0</v>
      </c>
      <c r="Z41" s="115">
        <v>0</v>
      </c>
      <c r="AA41" s="115">
        <v>0</v>
      </c>
      <c r="AB41" s="115">
        <v>6.1877719894243696E-3</v>
      </c>
      <c r="AC41" s="115">
        <v>1.14990082721918E-2</v>
      </c>
      <c r="AD41" s="115">
        <v>7.4888957509745705E-4</v>
      </c>
      <c r="AE41" s="115">
        <v>0</v>
      </c>
      <c r="AF41" s="115">
        <v>1.22478978472893E-2</v>
      </c>
      <c r="AG41" s="115">
        <v>4.5547047009813303E-2</v>
      </c>
      <c r="AH41" s="115">
        <v>1.4744088005003899E-3</v>
      </c>
      <c r="AI41" s="115">
        <v>2.4545735438388501E-4</v>
      </c>
      <c r="AJ41" s="115">
        <v>4.7266913164697499E-2</v>
      </c>
      <c r="AK41" s="115">
        <v>6.68686928407271</v>
      </c>
      <c r="AL41" s="115">
        <v>0.140853879756107</v>
      </c>
      <c r="AM41" s="115">
        <v>0</v>
      </c>
      <c r="AN41" s="115">
        <v>6.8277231638288196</v>
      </c>
      <c r="AO41" s="115">
        <v>1.74889566264087E-3</v>
      </c>
      <c r="AP41" s="115">
        <v>1.8080162288736099E-5</v>
      </c>
      <c r="AQ41" s="115">
        <v>0</v>
      </c>
      <c r="AR41" s="115">
        <v>1.7669758249295999E-3</v>
      </c>
      <c r="AS41" s="115">
        <v>1.19570815629811E-4</v>
      </c>
      <c r="AT41" s="115">
        <v>2.05063948805125E-4</v>
      </c>
      <c r="AU41" s="115">
        <v>2.0916105893645401E-3</v>
      </c>
      <c r="AV41" s="115">
        <v>1.6732392104340701E-3</v>
      </c>
      <c r="AW41" s="115">
        <v>1.72980224714166E-5</v>
      </c>
      <c r="AX41" s="115">
        <v>0</v>
      </c>
      <c r="AY41" s="115">
        <v>1.69053723290548E-3</v>
      </c>
      <c r="AZ41" s="115">
        <v>2.9892703907452699E-5</v>
      </c>
      <c r="BA41" s="115">
        <v>8.7884549487911106E-5</v>
      </c>
      <c r="BB41" s="115">
        <v>1.80831448630085E-3</v>
      </c>
      <c r="BC41" s="115">
        <v>6.3174225341293099E-5</v>
      </c>
      <c r="BD41" s="115">
        <v>1.330717614161E-6</v>
      </c>
      <c r="BE41" s="115">
        <v>0</v>
      </c>
      <c r="BF41" s="115">
        <v>6.4504942955454094E-5</v>
      </c>
      <c r="BG41" s="115">
        <v>1.0510827313186799E-3</v>
      </c>
      <c r="BH41" s="115">
        <v>2.2140268391894099E-5</v>
      </c>
      <c r="BI41" s="115">
        <v>0</v>
      </c>
      <c r="BJ41" s="115">
        <v>1.0732229997105799E-3</v>
      </c>
      <c r="BK41" s="117">
        <v>0.60850737937027599</v>
      </c>
    </row>
    <row r="42" spans="2:63">
      <c r="B42" s="95" t="s">
        <v>264</v>
      </c>
      <c r="C42" s="106">
        <v>2015</v>
      </c>
      <c r="D42" s="106" t="s">
        <v>150</v>
      </c>
      <c r="E42" s="106" t="s">
        <v>131</v>
      </c>
      <c r="F42" s="106" t="s">
        <v>131</v>
      </c>
      <c r="G42" s="106" t="s">
        <v>146</v>
      </c>
      <c r="H42" s="106">
        <v>185.259591068422</v>
      </c>
      <c r="I42" s="115">
        <v>7507.1818324996702</v>
      </c>
      <c r="J42" s="115">
        <v>722.51240516684595</v>
      </c>
      <c r="K42" s="115">
        <v>3.5918246180771099E-4</v>
      </c>
      <c r="L42" s="115">
        <v>2.5648582266086302E-4</v>
      </c>
      <c r="M42" s="115">
        <v>0</v>
      </c>
      <c r="N42" s="115">
        <v>6.1566828446857499E-4</v>
      </c>
      <c r="O42" s="115">
        <v>0</v>
      </c>
      <c r="P42" s="115">
        <v>0</v>
      </c>
      <c r="Q42" s="115">
        <v>0</v>
      </c>
      <c r="R42" s="115">
        <v>0</v>
      </c>
      <c r="S42" s="115">
        <v>6.1566828446857499E-4</v>
      </c>
      <c r="T42" s="115">
        <v>4.0890189133621098E-4</v>
      </c>
      <c r="U42" s="115">
        <v>2.9198958506804001E-4</v>
      </c>
      <c r="V42" s="115">
        <v>0</v>
      </c>
      <c r="W42" s="115">
        <v>7.0089147640425105E-4</v>
      </c>
      <c r="X42" s="115">
        <v>0</v>
      </c>
      <c r="Y42" s="115">
        <v>0</v>
      </c>
      <c r="Z42" s="115">
        <v>0</v>
      </c>
      <c r="AA42" s="115">
        <v>0</v>
      </c>
      <c r="AB42" s="115">
        <v>7.0089147640425105E-4</v>
      </c>
      <c r="AC42" s="115">
        <v>1.0178476542099201E-3</v>
      </c>
      <c r="AD42" s="115">
        <v>1.37988730384026E-3</v>
      </c>
      <c r="AE42" s="115">
        <v>0</v>
      </c>
      <c r="AF42" s="115">
        <v>2.3977349580501899E-3</v>
      </c>
      <c r="AG42" s="115">
        <v>8.5924308319510007E-2</v>
      </c>
      <c r="AH42" s="115">
        <v>9.7427304166427704E-3</v>
      </c>
      <c r="AI42" s="115">
        <v>3.7239489278944801E-4</v>
      </c>
      <c r="AJ42" s="115">
        <v>9.6039433628942197E-2</v>
      </c>
      <c r="AK42" s="115">
        <v>35.865727106775097</v>
      </c>
      <c r="AL42" s="115">
        <v>0.95334404304239295</v>
      </c>
      <c r="AM42" s="115">
        <v>0</v>
      </c>
      <c r="AN42" s="115">
        <v>36.819071149817503</v>
      </c>
      <c r="AO42" s="115">
        <v>8.5476550063587201E-5</v>
      </c>
      <c r="AP42" s="115">
        <v>1.0221968375263099E-5</v>
      </c>
      <c r="AQ42" s="115">
        <v>0</v>
      </c>
      <c r="AR42" s="115">
        <v>9.5698518438850299E-5</v>
      </c>
      <c r="AS42" s="115">
        <v>2.97909052096696E-4</v>
      </c>
      <c r="AT42" s="115">
        <v>5.1091402434583395E-4</v>
      </c>
      <c r="AU42" s="115">
        <v>9.0452159488138204E-4</v>
      </c>
      <c r="AV42" s="115">
        <v>8.1778872344538594E-5</v>
      </c>
      <c r="AW42" s="115">
        <v>9.7797705481642603E-6</v>
      </c>
      <c r="AX42" s="115">
        <v>0</v>
      </c>
      <c r="AY42" s="115">
        <v>9.1558642892702907E-5</v>
      </c>
      <c r="AZ42" s="115">
        <v>7.4477263024174095E-5</v>
      </c>
      <c r="BA42" s="115">
        <v>2.18963153291072E-4</v>
      </c>
      <c r="BB42" s="115">
        <v>3.84999059207949E-4</v>
      </c>
      <c r="BC42" s="115">
        <v>3.3884160584229798E-4</v>
      </c>
      <c r="BD42" s="115">
        <v>9.0067218072278304E-6</v>
      </c>
      <c r="BE42" s="115">
        <v>0</v>
      </c>
      <c r="BF42" s="115">
        <v>3.4784832764952599E-4</v>
      </c>
      <c r="BG42" s="115">
        <v>5.6375928415277098E-3</v>
      </c>
      <c r="BH42" s="115">
        <v>1.49852407468789E-4</v>
      </c>
      <c r="BI42" s="115">
        <v>0</v>
      </c>
      <c r="BJ42" s="115">
        <v>5.7874452489964897E-3</v>
      </c>
      <c r="BK42" s="117">
        <v>3.2814271988817998</v>
      </c>
    </row>
    <row r="43" spans="2:63">
      <c r="B43" s="95" t="s">
        <v>264</v>
      </c>
      <c r="C43" s="106">
        <v>2015</v>
      </c>
      <c r="D43" s="106" t="s">
        <v>149</v>
      </c>
      <c r="E43" s="106" t="s">
        <v>131</v>
      </c>
      <c r="F43" s="106" t="s">
        <v>131</v>
      </c>
      <c r="G43" s="106" t="s">
        <v>146</v>
      </c>
      <c r="H43" s="106">
        <v>137.89999999999901</v>
      </c>
      <c r="I43" s="115">
        <v>18401.842419769298</v>
      </c>
      <c r="J43" s="115">
        <v>1751.33</v>
      </c>
      <c r="K43" s="115">
        <v>9.9261796049127105E-3</v>
      </c>
      <c r="L43" s="115">
        <v>3.2436592006914502E-4</v>
      </c>
      <c r="M43" s="115">
        <v>0</v>
      </c>
      <c r="N43" s="115">
        <v>1.0250545524981799E-2</v>
      </c>
      <c r="O43" s="115">
        <v>0</v>
      </c>
      <c r="P43" s="115">
        <v>0</v>
      </c>
      <c r="Q43" s="115">
        <v>0</v>
      </c>
      <c r="R43" s="115">
        <v>0</v>
      </c>
      <c r="S43" s="115">
        <v>1.0250545524981799E-2</v>
      </c>
      <c r="T43" s="115">
        <v>1.13001998866098E-2</v>
      </c>
      <c r="U43" s="115">
        <v>3.6926590884687799E-4</v>
      </c>
      <c r="V43" s="115">
        <v>0</v>
      </c>
      <c r="W43" s="115">
        <v>1.16694657954566E-2</v>
      </c>
      <c r="X43" s="115">
        <v>0</v>
      </c>
      <c r="Y43" s="115">
        <v>0</v>
      </c>
      <c r="Z43" s="115">
        <v>0</v>
      </c>
      <c r="AA43" s="115">
        <v>0</v>
      </c>
      <c r="AB43" s="115">
        <v>1.16694657954566E-2</v>
      </c>
      <c r="AC43" s="115">
        <v>3.4410905710448997E-2</v>
      </c>
      <c r="AD43" s="115">
        <v>2.3233772516995099E-3</v>
      </c>
      <c r="AE43" s="115">
        <v>0</v>
      </c>
      <c r="AF43" s="115">
        <v>3.6734282962148597E-2</v>
      </c>
      <c r="AG43" s="115">
        <v>0.17875316569446101</v>
      </c>
      <c r="AH43" s="115">
        <v>4.5486491926654497E-3</v>
      </c>
      <c r="AI43" s="115">
        <v>1.1227267437204601E-3</v>
      </c>
      <c r="AJ43" s="115">
        <v>0.18442454163084701</v>
      </c>
      <c r="AK43" s="115">
        <v>31.262769827638401</v>
      </c>
      <c r="AL43" s="115">
        <v>0.53865378840427403</v>
      </c>
      <c r="AM43" s="115">
        <v>0</v>
      </c>
      <c r="AN43" s="115">
        <v>31.801423616042701</v>
      </c>
      <c r="AO43" s="115">
        <v>5.4571902759956098E-3</v>
      </c>
      <c r="AP43" s="115">
        <v>2.8677716758843199E-5</v>
      </c>
      <c r="AQ43" s="115">
        <v>0</v>
      </c>
      <c r="AR43" s="115">
        <v>5.4858679927544604E-3</v>
      </c>
      <c r="AS43" s="115">
        <v>7.3024412548175802E-4</v>
      </c>
      <c r="AT43" s="115">
        <v>1.2523686752012101E-3</v>
      </c>
      <c r="AU43" s="115">
        <v>7.4684807934374299E-3</v>
      </c>
      <c r="AV43" s="115">
        <v>5.2211146403137098E-3</v>
      </c>
      <c r="AW43" s="115">
        <v>2.7437131426217201E-5</v>
      </c>
      <c r="AX43" s="115">
        <v>0</v>
      </c>
      <c r="AY43" s="115">
        <v>5.2485517717399304E-3</v>
      </c>
      <c r="AZ43" s="115">
        <v>1.8256103137043899E-4</v>
      </c>
      <c r="BA43" s="115">
        <v>5.3672943222909204E-4</v>
      </c>
      <c r="BB43" s="115">
        <v>5.9678422353394598E-3</v>
      </c>
      <c r="BC43" s="115">
        <v>2.9535514782506899E-4</v>
      </c>
      <c r="BD43" s="115">
        <v>5.0889339037396397E-6</v>
      </c>
      <c r="BE43" s="115">
        <v>0</v>
      </c>
      <c r="BF43" s="115">
        <v>3.0044408172880902E-4</v>
      </c>
      <c r="BG43" s="115">
        <v>4.9140720572016404E-3</v>
      </c>
      <c r="BH43" s="115">
        <v>8.4668874341489993E-5</v>
      </c>
      <c r="BI43" s="115">
        <v>0</v>
      </c>
      <c r="BJ43" s="115">
        <v>4.9987409315431297E-3</v>
      </c>
      <c r="BK43" s="117">
        <v>2.8342392449887202</v>
      </c>
    </row>
    <row r="44" spans="2:63">
      <c r="B44" s="95" t="s">
        <v>264</v>
      </c>
      <c r="C44" s="106">
        <v>2015</v>
      </c>
      <c r="D44" s="106" t="s">
        <v>148</v>
      </c>
      <c r="E44" s="106" t="s">
        <v>131</v>
      </c>
      <c r="F44" s="106" t="s">
        <v>131</v>
      </c>
      <c r="G44" s="106" t="s">
        <v>146</v>
      </c>
      <c r="H44" s="106">
        <v>36.079606699371297</v>
      </c>
      <c r="I44" s="115">
        <v>2485.5701632620198</v>
      </c>
      <c r="J44" s="115">
        <v>163.11449911597401</v>
      </c>
      <c r="K44" s="115">
        <v>4.3378851698786499E-3</v>
      </c>
      <c r="L44" s="115">
        <v>8.2993776266144094E-5</v>
      </c>
      <c r="M44" s="115">
        <v>0</v>
      </c>
      <c r="N44" s="115">
        <v>4.4208789461447897E-3</v>
      </c>
      <c r="O44" s="115">
        <v>0</v>
      </c>
      <c r="P44" s="115">
        <v>0</v>
      </c>
      <c r="Q44" s="115">
        <v>0</v>
      </c>
      <c r="R44" s="115">
        <v>0</v>
      </c>
      <c r="S44" s="115">
        <v>4.4208789461447897E-3</v>
      </c>
      <c r="T44" s="115">
        <v>4.9383520604975098E-3</v>
      </c>
      <c r="U44" s="115">
        <v>9.4482096685802303E-5</v>
      </c>
      <c r="V44" s="115">
        <v>0</v>
      </c>
      <c r="W44" s="115">
        <v>5.0328341571833097E-3</v>
      </c>
      <c r="X44" s="115">
        <v>0</v>
      </c>
      <c r="Y44" s="115">
        <v>0</v>
      </c>
      <c r="Z44" s="115">
        <v>0</v>
      </c>
      <c r="AA44" s="115">
        <v>0</v>
      </c>
      <c r="AB44" s="115">
        <v>5.0328341571833097E-3</v>
      </c>
      <c r="AC44" s="115">
        <v>9.1135427155139906E-3</v>
      </c>
      <c r="AD44" s="115">
        <v>5.5919065446290205E-4</v>
      </c>
      <c r="AE44" s="115">
        <v>0</v>
      </c>
      <c r="AF44" s="115">
        <v>9.6727333699768991E-3</v>
      </c>
      <c r="AG44" s="115">
        <v>3.3292660853181402E-2</v>
      </c>
      <c r="AH44" s="115">
        <v>1.09521434146258E-3</v>
      </c>
      <c r="AI44" s="115">
        <v>2.5103337671547902E-4</v>
      </c>
      <c r="AJ44" s="115">
        <v>3.46389085713594E-2</v>
      </c>
      <c r="AK44" s="115">
        <v>5.5009778955358204</v>
      </c>
      <c r="AL44" s="115">
        <v>0.124111641113108</v>
      </c>
      <c r="AM44" s="115">
        <v>0</v>
      </c>
      <c r="AN44" s="115">
        <v>5.62508953664892</v>
      </c>
      <c r="AO44" s="115">
        <v>1.1198245838359099E-3</v>
      </c>
      <c r="AP44" s="115">
        <v>8.1002954802789405E-6</v>
      </c>
      <c r="AQ44" s="115">
        <v>0</v>
      </c>
      <c r="AR44" s="115">
        <v>1.1279248793161899E-3</v>
      </c>
      <c r="AS44" s="115">
        <v>9.8635395782156797E-5</v>
      </c>
      <c r="AT44" s="115">
        <v>1.6915970376639799E-4</v>
      </c>
      <c r="AU44" s="115">
        <v>1.39571997886474E-3</v>
      </c>
      <c r="AV44" s="115">
        <v>1.0713814680361599E-3</v>
      </c>
      <c r="AW44" s="115">
        <v>7.7498802834459508E-6</v>
      </c>
      <c r="AX44" s="115">
        <v>0</v>
      </c>
      <c r="AY44" s="115">
        <v>1.07913134831961E-3</v>
      </c>
      <c r="AZ44" s="115">
        <v>2.4658848945539199E-5</v>
      </c>
      <c r="BA44" s="115">
        <v>7.2497015899885203E-5</v>
      </c>
      <c r="BB44" s="115">
        <v>1.1762872131650299E-3</v>
      </c>
      <c r="BC44" s="115">
        <v>5.1970511521408298E-5</v>
      </c>
      <c r="BD44" s="115">
        <v>1.1725452450270899E-6</v>
      </c>
      <c r="BE44" s="115">
        <v>0</v>
      </c>
      <c r="BF44" s="115">
        <v>5.31430567664354E-5</v>
      </c>
      <c r="BG44" s="115">
        <v>8.6467711955061897E-4</v>
      </c>
      <c r="BH44" s="115">
        <v>1.9508621626615298E-5</v>
      </c>
      <c r="BI44" s="115">
        <v>0</v>
      </c>
      <c r="BJ44" s="115">
        <v>8.8418574117723504E-4</v>
      </c>
      <c r="BK44" s="117">
        <v>0.50132502600616802</v>
      </c>
    </row>
    <row r="45" spans="2:63">
      <c r="B45" s="95" t="s">
        <v>264</v>
      </c>
      <c r="C45" s="106">
        <v>2015</v>
      </c>
      <c r="D45" s="106" t="s">
        <v>147</v>
      </c>
      <c r="E45" s="106" t="s">
        <v>131</v>
      </c>
      <c r="F45" s="106" t="s">
        <v>131</v>
      </c>
      <c r="G45" s="106" t="s">
        <v>146</v>
      </c>
      <c r="H45" s="106">
        <v>4.8995578969199496</v>
      </c>
      <c r="I45" s="115">
        <v>95.898918151871101</v>
      </c>
      <c r="J45" s="115">
        <v>56.344915814579501</v>
      </c>
      <c r="K45" s="115">
        <v>9.3499465421236402E-6</v>
      </c>
      <c r="L45" s="115">
        <v>3.06643325436929E-6</v>
      </c>
      <c r="M45" s="115">
        <v>0</v>
      </c>
      <c r="N45" s="115">
        <v>1.24163797964929E-5</v>
      </c>
      <c r="O45" s="115">
        <v>0</v>
      </c>
      <c r="P45" s="115">
        <v>0</v>
      </c>
      <c r="Q45" s="115">
        <v>0</v>
      </c>
      <c r="R45" s="115">
        <v>0</v>
      </c>
      <c r="S45" s="115">
        <v>1.24163797964929E-5</v>
      </c>
      <c r="T45" s="115">
        <v>1.0644202408227699E-5</v>
      </c>
      <c r="U45" s="115">
        <v>3.49090083924842E-6</v>
      </c>
      <c r="V45" s="115">
        <v>0</v>
      </c>
      <c r="W45" s="115">
        <v>1.4135103247476099E-5</v>
      </c>
      <c r="X45" s="115">
        <v>0</v>
      </c>
      <c r="Y45" s="115">
        <v>0</v>
      </c>
      <c r="Z45" s="115">
        <v>0</v>
      </c>
      <c r="AA45" s="115">
        <v>0</v>
      </c>
      <c r="AB45" s="115">
        <v>1.4135103247476099E-5</v>
      </c>
      <c r="AC45" s="115">
        <v>3.3546550398039401E-5</v>
      </c>
      <c r="AD45" s="115">
        <v>3.2476758487760601E-5</v>
      </c>
      <c r="AE45" s="115">
        <v>0</v>
      </c>
      <c r="AF45" s="115">
        <v>6.6023308885800104E-5</v>
      </c>
      <c r="AG45" s="115">
        <v>6.1745430190164802E-4</v>
      </c>
      <c r="AH45" s="115">
        <v>8.7125094599558605E-5</v>
      </c>
      <c r="AI45" s="115">
        <v>1.0791020059509001E-4</v>
      </c>
      <c r="AJ45" s="115">
        <v>8.12489597096297E-4</v>
      </c>
      <c r="AK45" s="115">
        <v>0.18885749758796599</v>
      </c>
      <c r="AL45" s="115">
        <v>9.9332436168662192E-3</v>
      </c>
      <c r="AM45" s="115">
        <v>0</v>
      </c>
      <c r="AN45" s="115">
        <v>0.198790741204833</v>
      </c>
      <c r="AO45" s="115">
        <v>2.32396145967166E-6</v>
      </c>
      <c r="AP45" s="115">
        <v>6.9721732180531296E-8</v>
      </c>
      <c r="AQ45" s="115">
        <v>0</v>
      </c>
      <c r="AR45" s="115">
        <v>2.3936831918521899E-6</v>
      </c>
      <c r="AS45" s="115">
        <v>3.8055766386318999E-6</v>
      </c>
      <c r="AT45" s="115">
        <v>6.5265639352537097E-6</v>
      </c>
      <c r="AU45" s="115">
        <v>1.27258237657378E-5</v>
      </c>
      <c r="AV45" s="115">
        <v>2.2234279156415998E-6</v>
      </c>
      <c r="AW45" s="115">
        <v>6.6705600909140096E-8</v>
      </c>
      <c r="AX45" s="115">
        <v>0</v>
      </c>
      <c r="AY45" s="115">
        <v>2.2901335165507399E-6</v>
      </c>
      <c r="AZ45" s="115">
        <v>9.5139415965797604E-7</v>
      </c>
      <c r="BA45" s="115">
        <v>2.7970988293944499E-6</v>
      </c>
      <c r="BB45" s="115">
        <v>6.0386265056031696E-6</v>
      </c>
      <c r="BC45" s="115">
        <v>1.78423199305434E-6</v>
      </c>
      <c r="BD45" s="115">
        <v>9.3844360337139295E-8</v>
      </c>
      <c r="BE45" s="115">
        <v>0</v>
      </c>
      <c r="BF45" s="115">
        <v>1.8780763533914799E-6</v>
      </c>
      <c r="BG45" s="115">
        <v>2.9685768625324501E-5</v>
      </c>
      <c r="BH45" s="115">
        <v>1.5613675680094401E-6</v>
      </c>
      <c r="BI45" s="115">
        <v>0</v>
      </c>
      <c r="BJ45" s="115">
        <v>3.1247136193334003E-5</v>
      </c>
      <c r="BK45" s="117">
        <v>1.77168332797185E-2</v>
      </c>
    </row>
    <row r="46" spans="2:63">
      <c r="B46" s="95" t="s">
        <v>264</v>
      </c>
      <c r="C46" s="106">
        <v>2015</v>
      </c>
      <c r="D46" s="106" t="s">
        <v>132</v>
      </c>
      <c r="E46" s="106" t="s">
        <v>131</v>
      </c>
      <c r="F46" s="106" t="s">
        <v>131</v>
      </c>
      <c r="G46" s="106" t="s">
        <v>146</v>
      </c>
      <c r="H46" s="106">
        <v>325.88459999999998</v>
      </c>
      <c r="I46" s="115">
        <v>25710.0321581301</v>
      </c>
      <c r="J46" s="115">
        <v>1303.5383999999999</v>
      </c>
      <c r="K46" s="115">
        <v>2.86798019515977E-4</v>
      </c>
      <c r="L46" s="115">
        <v>0</v>
      </c>
      <c r="M46" s="115">
        <v>0</v>
      </c>
      <c r="N46" s="115">
        <v>2.86798019515977E-4</v>
      </c>
      <c r="O46" s="115">
        <v>0</v>
      </c>
      <c r="P46" s="115">
        <v>0</v>
      </c>
      <c r="Q46" s="115">
        <v>0</v>
      </c>
      <c r="R46" s="115">
        <v>0</v>
      </c>
      <c r="S46" s="115">
        <v>2.86798019515977E-4</v>
      </c>
      <c r="T46" s="115">
        <v>7.4524125986730602E-3</v>
      </c>
      <c r="U46" s="115">
        <v>0</v>
      </c>
      <c r="V46" s="115">
        <v>0</v>
      </c>
      <c r="W46" s="115">
        <v>7.4524125986730602E-3</v>
      </c>
      <c r="X46" s="115">
        <v>0</v>
      </c>
      <c r="Y46" s="115">
        <v>0</v>
      </c>
      <c r="Z46" s="115">
        <v>0</v>
      </c>
      <c r="AA46" s="115">
        <v>0</v>
      </c>
      <c r="AB46" s="115">
        <v>7.4524125986730602E-3</v>
      </c>
      <c r="AC46" s="115">
        <v>2.2061948029312502E-2</v>
      </c>
      <c r="AD46" s="115">
        <v>0</v>
      </c>
      <c r="AE46" s="115">
        <v>0</v>
      </c>
      <c r="AF46" s="115">
        <v>2.2061948029312502E-2</v>
      </c>
      <c r="AG46" s="115">
        <v>0.24052682326769301</v>
      </c>
      <c r="AH46" s="115">
        <v>0</v>
      </c>
      <c r="AI46" s="115">
        <v>0</v>
      </c>
      <c r="AJ46" s="115">
        <v>0.24052682326769301</v>
      </c>
      <c r="AK46" s="115">
        <v>54.613986105789401</v>
      </c>
      <c r="AL46" s="115">
        <v>0</v>
      </c>
      <c r="AM46" s="115">
        <v>0</v>
      </c>
      <c r="AN46" s="115">
        <v>54.613986105789401</v>
      </c>
      <c r="AO46" s="115">
        <v>3.6654523824029199E-4</v>
      </c>
      <c r="AP46" s="115">
        <v>0</v>
      </c>
      <c r="AQ46" s="115">
        <v>0</v>
      </c>
      <c r="AR46" s="115">
        <v>3.6654523824029199E-4</v>
      </c>
      <c r="AS46" s="115">
        <v>9.0384549496753301E-4</v>
      </c>
      <c r="AT46" s="115">
        <v>2.0824829932688301E-3</v>
      </c>
      <c r="AU46" s="115">
        <v>3.3528737264766602E-3</v>
      </c>
      <c r="AV46" s="115">
        <v>3.5068865348744199E-4</v>
      </c>
      <c r="AW46" s="115">
        <v>0</v>
      </c>
      <c r="AX46" s="115">
        <v>0</v>
      </c>
      <c r="AY46" s="115">
        <v>3.5068865348744199E-4</v>
      </c>
      <c r="AZ46" s="115">
        <v>2.2596137374188301E-4</v>
      </c>
      <c r="BA46" s="115">
        <v>8.9249271140092899E-4</v>
      </c>
      <c r="BB46" s="115">
        <v>1.4691427386302499E-3</v>
      </c>
      <c r="BC46" s="115">
        <v>5.1629857291456702E-4</v>
      </c>
      <c r="BD46" s="115">
        <v>0</v>
      </c>
      <c r="BE46" s="115">
        <v>0</v>
      </c>
      <c r="BF46" s="115">
        <v>5.1629857291456702E-4</v>
      </c>
      <c r="BG46" s="115">
        <v>8.5845580712939403E-3</v>
      </c>
      <c r="BH46" s="115">
        <v>0</v>
      </c>
      <c r="BI46" s="115">
        <v>0</v>
      </c>
      <c r="BJ46" s="115">
        <v>8.5845580712939403E-3</v>
      </c>
      <c r="BK46" s="117">
        <v>4.8673639461917402</v>
      </c>
    </row>
    <row r="47" spans="2:63">
      <c r="B47" s="95" t="s">
        <v>264</v>
      </c>
      <c r="C47" s="106">
        <v>2015</v>
      </c>
      <c r="D47" s="106" t="s">
        <v>144</v>
      </c>
      <c r="E47" s="106" t="s">
        <v>131</v>
      </c>
      <c r="F47" s="106" t="s">
        <v>131</v>
      </c>
      <c r="G47" s="106" t="s">
        <v>145</v>
      </c>
      <c r="H47" s="106">
        <v>3340.3261590553602</v>
      </c>
      <c r="I47" s="115">
        <v>120276.86622316</v>
      </c>
      <c r="J47" s="115">
        <v>17085.087792939899</v>
      </c>
      <c r="K47" s="115">
        <v>0</v>
      </c>
      <c r="L47" s="115">
        <v>0</v>
      </c>
      <c r="M47" s="115">
        <v>0</v>
      </c>
      <c r="N47" s="115">
        <v>0</v>
      </c>
      <c r="O47" s="115">
        <v>4.4194131772490201E-5</v>
      </c>
      <c r="P47" s="115">
        <v>9.2056590137448594E-5</v>
      </c>
      <c r="Q47" s="115">
        <v>0</v>
      </c>
      <c r="R47" s="115">
        <v>1.15166142280875E-5</v>
      </c>
      <c r="S47" s="115">
        <v>1.4776733613802601E-4</v>
      </c>
      <c r="T47" s="115">
        <v>0</v>
      </c>
      <c r="U47" s="115">
        <v>0</v>
      </c>
      <c r="V47" s="115">
        <v>0</v>
      </c>
      <c r="W47" s="115">
        <v>0</v>
      </c>
      <c r="X47" s="115">
        <v>4.4194131772490201E-5</v>
      </c>
      <c r="Y47" s="115">
        <v>9.2056590137410701E-5</v>
      </c>
      <c r="Z47" s="115">
        <v>0</v>
      </c>
      <c r="AA47" s="115">
        <v>1.15166142280875E-5</v>
      </c>
      <c r="AB47" s="115">
        <v>1.4776733613798801E-4</v>
      </c>
      <c r="AC47" s="115">
        <v>0</v>
      </c>
      <c r="AD47" s="115">
        <v>0</v>
      </c>
      <c r="AE47" s="115">
        <v>0</v>
      </c>
      <c r="AF47" s="115">
        <v>0</v>
      </c>
      <c r="AG47" s="115">
        <v>0</v>
      </c>
      <c r="AH47" s="115">
        <v>0</v>
      </c>
      <c r="AI47" s="115">
        <v>0</v>
      </c>
      <c r="AJ47" s="115">
        <v>0</v>
      </c>
      <c r="AK47" s="115">
        <v>0</v>
      </c>
      <c r="AL47" s="115">
        <v>0</v>
      </c>
      <c r="AM47" s="115">
        <v>0</v>
      </c>
      <c r="AN47" s="115">
        <v>0</v>
      </c>
      <c r="AO47" s="115">
        <v>0</v>
      </c>
      <c r="AP47" s="115">
        <v>0</v>
      </c>
      <c r="AQ47" s="115">
        <v>0</v>
      </c>
      <c r="AR47" s="115">
        <v>0</v>
      </c>
      <c r="AS47" s="115">
        <v>1.0606604006426299E-3</v>
      </c>
      <c r="AT47" s="115">
        <v>4.8724087154521098E-3</v>
      </c>
      <c r="AU47" s="115">
        <v>5.9330691160947501E-3</v>
      </c>
      <c r="AV47" s="115">
        <v>0</v>
      </c>
      <c r="AW47" s="115">
        <v>0</v>
      </c>
      <c r="AX47" s="115">
        <v>0</v>
      </c>
      <c r="AY47" s="115">
        <v>0</v>
      </c>
      <c r="AZ47" s="115">
        <v>2.65165100160659E-4</v>
      </c>
      <c r="BA47" s="115">
        <v>2.0881751637651901E-3</v>
      </c>
      <c r="BB47" s="115">
        <v>2.3533402639258501E-3</v>
      </c>
      <c r="BC47" s="115">
        <v>0</v>
      </c>
      <c r="BD47" s="115">
        <v>0</v>
      </c>
      <c r="BE47" s="115">
        <v>0</v>
      </c>
      <c r="BF47" s="115">
        <v>0</v>
      </c>
      <c r="BG47" s="115">
        <v>0</v>
      </c>
      <c r="BH47" s="115">
        <v>0</v>
      </c>
      <c r="BI47" s="115">
        <v>0</v>
      </c>
      <c r="BJ47" s="115">
        <v>0</v>
      </c>
      <c r="BK47" s="117">
        <v>0</v>
      </c>
    </row>
    <row r="48" spans="2:63">
      <c r="B48" s="95" t="s">
        <v>264</v>
      </c>
      <c r="C48" s="106">
        <v>2015</v>
      </c>
      <c r="D48" s="106" t="s">
        <v>143</v>
      </c>
      <c r="E48" s="106" t="s">
        <v>131</v>
      </c>
      <c r="F48" s="106" t="s">
        <v>131</v>
      </c>
      <c r="G48" s="106" t="s">
        <v>145</v>
      </c>
      <c r="H48" s="106">
        <v>75.3113845926853</v>
      </c>
      <c r="I48" s="115">
        <v>2564.9344657178399</v>
      </c>
      <c r="J48" s="115">
        <v>377.79157323811302</v>
      </c>
      <c r="K48" s="115">
        <v>0</v>
      </c>
      <c r="L48" s="115">
        <v>0</v>
      </c>
      <c r="M48" s="115">
        <v>0</v>
      </c>
      <c r="N48" s="115">
        <v>0</v>
      </c>
      <c r="O48" s="115">
        <v>9.9640606820235203E-7</v>
      </c>
      <c r="P48" s="115">
        <v>2.0355882531276302E-6</v>
      </c>
      <c r="Q48" s="115">
        <v>0</v>
      </c>
      <c r="R48" s="115">
        <v>2.5965493249388799E-7</v>
      </c>
      <c r="S48" s="115">
        <v>3.2916492538238702E-6</v>
      </c>
      <c r="T48" s="115">
        <v>0</v>
      </c>
      <c r="U48" s="115">
        <v>0</v>
      </c>
      <c r="V48" s="115">
        <v>0</v>
      </c>
      <c r="W48" s="115">
        <v>0</v>
      </c>
      <c r="X48" s="115">
        <v>9.9640606820235203E-7</v>
      </c>
      <c r="Y48" s="115">
        <v>2.0355882531267899E-6</v>
      </c>
      <c r="Z48" s="115">
        <v>0</v>
      </c>
      <c r="AA48" s="115">
        <v>2.5965493249388799E-7</v>
      </c>
      <c r="AB48" s="115">
        <v>3.2916492538230401E-6</v>
      </c>
      <c r="AC48" s="115">
        <v>0</v>
      </c>
      <c r="AD48" s="115">
        <v>0</v>
      </c>
      <c r="AE48" s="115">
        <v>0</v>
      </c>
      <c r="AF48" s="115">
        <v>0</v>
      </c>
      <c r="AG48" s="115">
        <v>0</v>
      </c>
      <c r="AH48" s="115">
        <v>0</v>
      </c>
      <c r="AI48" s="115">
        <v>0</v>
      </c>
      <c r="AJ48" s="115">
        <v>0</v>
      </c>
      <c r="AK48" s="115">
        <v>0</v>
      </c>
      <c r="AL48" s="115">
        <v>0</v>
      </c>
      <c r="AM48" s="115">
        <v>0</v>
      </c>
      <c r="AN48" s="115">
        <v>0</v>
      </c>
      <c r="AO48" s="115">
        <v>0</v>
      </c>
      <c r="AP48" s="115">
        <v>0</v>
      </c>
      <c r="AQ48" s="115">
        <v>0</v>
      </c>
      <c r="AR48" s="115">
        <v>0</v>
      </c>
      <c r="AS48" s="115">
        <v>2.2618850186724599E-5</v>
      </c>
      <c r="AT48" s="115">
        <v>1.03905343045266E-4</v>
      </c>
      <c r="AU48" s="115">
        <v>1.2652419323199099E-4</v>
      </c>
      <c r="AV48" s="115">
        <v>0</v>
      </c>
      <c r="AW48" s="115">
        <v>0</v>
      </c>
      <c r="AX48" s="115">
        <v>0</v>
      </c>
      <c r="AY48" s="115">
        <v>0</v>
      </c>
      <c r="AZ48" s="115">
        <v>5.65471254668116E-6</v>
      </c>
      <c r="BA48" s="115">
        <v>4.4530861305114099E-5</v>
      </c>
      <c r="BB48" s="115">
        <v>5.0185573851795301E-5</v>
      </c>
      <c r="BC48" s="115">
        <v>0</v>
      </c>
      <c r="BD48" s="115">
        <v>0</v>
      </c>
      <c r="BE48" s="115">
        <v>0</v>
      </c>
      <c r="BF48" s="115">
        <v>0</v>
      </c>
      <c r="BG48" s="115">
        <v>0</v>
      </c>
      <c r="BH48" s="115">
        <v>0</v>
      </c>
      <c r="BI48" s="115">
        <v>0</v>
      </c>
      <c r="BJ48" s="115">
        <v>0</v>
      </c>
      <c r="BK48" s="117">
        <v>0</v>
      </c>
    </row>
    <row r="49" spans="2:63">
      <c r="B49" s="95" t="s">
        <v>264</v>
      </c>
      <c r="C49" s="106">
        <v>2015</v>
      </c>
      <c r="D49" s="106" t="s">
        <v>142</v>
      </c>
      <c r="E49" s="106" t="s">
        <v>131</v>
      </c>
      <c r="F49" s="106" t="s">
        <v>131</v>
      </c>
      <c r="G49" s="106" t="s">
        <v>145</v>
      </c>
      <c r="H49" s="106">
        <v>15.975142186327201</v>
      </c>
      <c r="I49" s="115">
        <v>564.76092031840005</v>
      </c>
      <c r="J49" s="115">
        <v>81.342046411287299</v>
      </c>
      <c r="K49" s="115">
        <v>0</v>
      </c>
      <c r="L49" s="115">
        <v>0</v>
      </c>
      <c r="M49" s="115">
        <v>0</v>
      </c>
      <c r="N49" s="115">
        <v>0</v>
      </c>
      <c r="O49" s="115">
        <v>2.1135886295201401E-7</v>
      </c>
      <c r="P49" s="115">
        <v>4.3828112083330902E-7</v>
      </c>
      <c r="Q49" s="115">
        <v>0</v>
      </c>
      <c r="R49" s="115">
        <v>5.5078319013855101E-8</v>
      </c>
      <c r="S49" s="115">
        <v>7.0471830279917803E-7</v>
      </c>
      <c r="T49" s="115">
        <v>0</v>
      </c>
      <c r="U49" s="115">
        <v>0</v>
      </c>
      <c r="V49" s="115">
        <v>0</v>
      </c>
      <c r="W49" s="115">
        <v>0</v>
      </c>
      <c r="X49" s="115">
        <v>2.1135886295201401E-7</v>
      </c>
      <c r="Y49" s="115">
        <v>4.3828112083312802E-7</v>
      </c>
      <c r="Z49" s="115">
        <v>0</v>
      </c>
      <c r="AA49" s="115">
        <v>5.5078319013855101E-8</v>
      </c>
      <c r="AB49" s="115">
        <v>7.0471830279899803E-7</v>
      </c>
      <c r="AC49" s="115">
        <v>0</v>
      </c>
      <c r="AD49" s="115">
        <v>0</v>
      </c>
      <c r="AE49" s="115">
        <v>0</v>
      </c>
      <c r="AF49" s="115">
        <v>0</v>
      </c>
      <c r="AG49" s="115">
        <v>0</v>
      </c>
      <c r="AH49" s="115">
        <v>0</v>
      </c>
      <c r="AI49" s="115">
        <v>0</v>
      </c>
      <c r="AJ49" s="115">
        <v>0</v>
      </c>
      <c r="AK49" s="115">
        <v>0</v>
      </c>
      <c r="AL49" s="115">
        <v>0</v>
      </c>
      <c r="AM49" s="115">
        <v>0</v>
      </c>
      <c r="AN49" s="115">
        <v>0</v>
      </c>
      <c r="AO49" s="115">
        <v>0</v>
      </c>
      <c r="AP49" s="115">
        <v>0</v>
      </c>
      <c r="AQ49" s="115">
        <v>0</v>
      </c>
      <c r="AR49" s="115">
        <v>0</v>
      </c>
      <c r="AS49" s="115">
        <v>4.9803388034803099E-6</v>
      </c>
      <c r="AT49" s="115">
        <v>2.28784313784877E-5</v>
      </c>
      <c r="AU49" s="115">
        <v>2.7858770181968E-5</v>
      </c>
      <c r="AV49" s="115">
        <v>0</v>
      </c>
      <c r="AW49" s="115">
        <v>0</v>
      </c>
      <c r="AX49" s="115">
        <v>0</v>
      </c>
      <c r="AY49" s="115">
        <v>0</v>
      </c>
      <c r="AZ49" s="115">
        <v>1.2450847008700701E-6</v>
      </c>
      <c r="BA49" s="115">
        <v>9.8050420193518704E-6</v>
      </c>
      <c r="BB49" s="115">
        <v>1.10501267202219E-5</v>
      </c>
      <c r="BC49" s="115">
        <v>0</v>
      </c>
      <c r="BD49" s="115">
        <v>0</v>
      </c>
      <c r="BE49" s="115">
        <v>0</v>
      </c>
      <c r="BF49" s="115">
        <v>0</v>
      </c>
      <c r="BG49" s="115">
        <v>0</v>
      </c>
      <c r="BH49" s="115">
        <v>0</v>
      </c>
      <c r="BI49" s="115">
        <v>0</v>
      </c>
      <c r="BJ49" s="115">
        <v>0</v>
      </c>
      <c r="BK49" s="117">
        <v>0</v>
      </c>
    </row>
    <row r="50" spans="2:63">
      <c r="B50" s="95" t="s">
        <v>264</v>
      </c>
      <c r="C50" s="106">
        <v>2015</v>
      </c>
      <c r="D50" s="106" t="s">
        <v>138</v>
      </c>
      <c r="E50" s="106" t="s">
        <v>131</v>
      </c>
      <c r="F50" s="106" t="s">
        <v>131</v>
      </c>
      <c r="G50" s="106" t="s">
        <v>145</v>
      </c>
      <c r="H50" s="106">
        <v>2.2821631694753099</v>
      </c>
      <c r="I50" s="115">
        <v>52.0187853695708</v>
      </c>
      <c r="J50" s="115">
        <v>10.1447401858467</v>
      </c>
      <c r="K50" s="115">
        <v>0</v>
      </c>
      <c r="L50" s="115">
        <v>0</v>
      </c>
      <c r="M50" s="115">
        <v>0</v>
      </c>
      <c r="N50" s="115">
        <v>0</v>
      </c>
      <c r="O50" s="115">
        <v>3.0194123278859097E-8</v>
      </c>
      <c r="P50" s="115">
        <v>5.4661129088567499E-8</v>
      </c>
      <c r="Q50" s="115">
        <v>0</v>
      </c>
      <c r="R50" s="115">
        <v>7.8683312876935901E-9</v>
      </c>
      <c r="S50" s="115">
        <v>9.2723583655120295E-8</v>
      </c>
      <c r="T50" s="115">
        <v>0</v>
      </c>
      <c r="U50" s="115">
        <v>0</v>
      </c>
      <c r="V50" s="115">
        <v>0</v>
      </c>
      <c r="W50" s="115">
        <v>0</v>
      </c>
      <c r="X50" s="115">
        <v>3.0194123278859097E-8</v>
      </c>
      <c r="Y50" s="115">
        <v>5.4661129088545E-8</v>
      </c>
      <c r="Z50" s="115">
        <v>0</v>
      </c>
      <c r="AA50" s="115">
        <v>7.8683312876935901E-9</v>
      </c>
      <c r="AB50" s="115">
        <v>9.2723583655097796E-8</v>
      </c>
      <c r="AC50" s="115">
        <v>0</v>
      </c>
      <c r="AD50" s="115">
        <v>0</v>
      </c>
      <c r="AE50" s="115">
        <v>0</v>
      </c>
      <c r="AF50" s="115">
        <v>0</v>
      </c>
      <c r="AG50" s="115">
        <v>0</v>
      </c>
      <c r="AH50" s="115">
        <v>0</v>
      </c>
      <c r="AI50" s="115">
        <v>0</v>
      </c>
      <c r="AJ50" s="115">
        <v>0</v>
      </c>
      <c r="AK50" s="115">
        <v>0</v>
      </c>
      <c r="AL50" s="115">
        <v>0</v>
      </c>
      <c r="AM50" s="115">
        <v>0</v>
      </c>
      <c r="AN50" s="115">
        <v>0</v>
      </c>
      <c r="AO50" s="115">
        <v>0</v>
      </c>
      <c r="AP50" s="115">
        <v>0</v>
      </c>
      <c r="AQ50" s="115">
        <v>0</v>
      </c>
      <c r="AR50" s="115">
        <v>0</v>
      </c>
      <c r="AS50" s="115">
        <v>4.58727163947407E-7</v>
      </c>
      <c r="AT50" s="115">
        <v>2.1072779093834001E-6</v>
      </c>
      <c r="AU50" s="115">
        <v>2.5660050733308102E-6</v>
      </c>
      <c r="AV50" s="115">
        <v>0</v>
      </c>
      <c r="AW50" s="115">
        <v>0</v>
      </c>
      <c r="AX50" s="115">
        <v>0</v>
      </c>
      <c r="AY50" s="115">
        <v>0</v>
      </c>
      <c r="AZ50" s="115">
        <v>1.14681790986851E-7</v>
      </c>
      <c r="BA50" s="115">
        <v>9.0311910402145803E-7</v>
      </c>
      <c r="BB50" s="115">
        <v>1.01780089500831E-6</v>
      </c>
      <c r="BC50" s="115">
        <v>0</v>
      </c>
      <c r="BD50" s="115">
        <v>0</v>
      </c>
      <c r="BE50" s="115">
        <v>0</v>
      </c>
      <c r="BF50" s="115">
        <v>0</v>
      </c>
      <c r="BG50" s="115">
        <v>0</v>
      </c>
      <c r="BH50" s="115">
        <v>0</v>
      </c>
      <c r="BI50" s="115">
        <v>0</v>
      </c>
      <c r="BJ50" s="115">
        <v>0</v>
      </c>
      <c r="BK50" s="117">
        <v>0</v>
      </c>
    </row>
    <row r="51" spans="2:63">
      <c r="B51" s="95" t="s">
        <v>264</v>
      </c>
      <c r="C51" s="106">
        <v>2015</v>
      </c>
      <c r="D51" s="106" t="s">
        <v>144</v>
      </c>
      <c r="E51" s="106" t="s">
        <v>131</v>
      </c>
      <c r="F51" s="106" t="s">
        <v>131</v>
      </c>
      <c r="G51" s="106" t="s">
        <v>130</v>
      </c>
      <c r="H51" s="106">
        <v>263081.68440866203</v>
      </c>
      <c r="I51" s="115">
        <v>9779671.3402584698</v>
      </c>
      <c r="J51" s="115">
        <v>1239018.22911536</v>
      </c>
      <c r="K51" s="115">
        <v>0.32067992845617099</v>
      </c>
      <c r="L51" s="115">
        <v>0</v>
      </c>
      <c r="M51" s="115">
        <v>0.68887612345445703</v>
      </c>
      <c r="N51" s="115">
        <v>1.0095560519106199</v>
      </c>
      <c r="O51" s="115">
        <v>9.0834736264338994E-2</v>
      </c>
      <c r="P51" s="115">
        <v>0.22732746662499401</v>
      </c>
      <c r="Q51" s="115">
        <v>0.49655575767857302</v>
      </c>
      <c r="R51" s="115">
        <v>7.81770311575396E-2</v>
      </c>
      <c r="S51" s="115">
        <v>1.90245104363607</v>
      </c>
      <c r="T51" s="115">
        <v>0.45887739800906702</v>
      </c>
      <c r="U51" s="115">
        <v>0</v>
      </c>
      <c r="V51" s="115">
        <v>0.75400305842366599</v>
      </c>
      <c r="W51" s="115">
        <v>1.21288045643273</v>
      </c>
      <c r="X51" s="115">
        <v>9.0834736264338994E-2</v>
      </c>
      <c r="Y51" s="115">
        <v>0.2273274666249</v>
      </c>
      <c r="Z51" s="115">
        <v>0.49655575767836901</v>
      </c>
      <c r="AA51" s="115">
        <v>7.81770311575396E-2</v>
      </c>
      <c r="AB51" s="115">
        <v>2.1057754481578801</v>
      </c>
      <c r="AC51" s="115">
        <v>13.729014149660999</v>
      </c>
      <c r="AD51" s="115">
        <v>0</v>
      </c>
      <c r="AE51" s="115">
        <v>4.0683536383955801</v>
      </c>
      <c r="AF51" s="115">
        <v>17.797367788056601</v>
      </c>
      <c r="AG51" s="115">
        <v>1.2062024332991299</v>
      </c>
      <c r="AH51" s="115">
        <v>0</v>
      </c>
      <c r="AI51" s="115">
        <v>0.451288211864254</v>
      </c>
      <c r="AJ51" s="115">
        <v>1.65749064516339</v>
      </c>
      <c r="AK51" s="115">
        <v>3256.40945804082</v>
      </c>
      <c r="AL51" s="115">
        <v>0</v>
      </c>
      <c r="AM51" s="115">
        <v>89.190455432421203</v>
      </c>
      <c r="AN51" s="115">
        <v>3345.5999134732501</v>
      </c>
      <c r="AO51" s="115">
        <v>1.72212855963404E-2</v>
      </c>
      <c r="AP51" s="115">
        <v>0</v>
      </c>
      <c r="AQ51" s="115">
        <v>3.3141740824248899E-3</v>
      </c>
      <c r="AR51" s="115">
        <v>2.05354596787653E-2</v>
      </c>
      <c r="AS51" s="115">
        <v>8.62419386839198E-2</v>
      </c>
      <c r="AT51" s="115">
        <v>0.39617390582925599</v>
      </c>
      <c r="AU51" s="115">
        <v>0.50295130419194101</v>
      </c>
      <c r="AV51" s="115">
        <v>1.584241288642E-2</v>
      </c>
      <c r="AW51" s="115">
        <v>0</v>
      </c>
      <c r="AX51" s="115">
        <v>3.05627616979013E-3</v>
      </c>
      <c r="AY51" s="115">
        <v>1.8898689056210099E-2</v>
      </c>
      <c r="AZ51" s="115">
        <v>2.1560484670979901E-2</v>
      </c>
      <c r="BA51" s="115">
        <v>0.16978881678396701</v>
      </c>
      <c r="BB51" s="115">
        <v>0.210247990511157</v>
      </c>
      <c r="BC51" s="115">
        <v>3.2224811415034103E-2</v>
      </c>
      <c r="BD51" s="115">
        <v>0</v>
      </c>
      <c r="BE51" s="115">
        <v>8.8261185927766199E-4</v>
      </c>
      <c r="BF51" s="115">
        <v>3.3107423274311799E-2</v>
      </c>
      <c r="BG51" s="115">
        <v>9.7756528873149603E-2</v>
      </c>
      <c r="BH51" s="115">
        <v>0</v>
      </c>
      <c r="BI51" s="115">
        <v>4.6956565635278502E-2</v>
      </c>
      <c r="BJ51" s="115">
        <v>0.14471309450842801</v>
      </c>
      <c r="BK51" s="117">
        <v>353.138785483616</v>
      </c>
    </row>
    <row r="52" spans="2:63">
      <c r="B52" s="95" t="s">
        <v>264</v>
      </c>
      <c r="C52" s="106">
        <v>2015</v>
      </c>
      <c r="D52" s="106" t="s">
        <v>143</v>
      </c>
      <c r="E52" s="106" t="s">
        <v>131</v>
      </c>
      <c r="F52" s="106" t="s">
        <v>131</v>
      </c>
      <c r="G52" s="106" t="s">
        <v>130</v>
      </c>
      <c r="H52" s="106">
        <v>26164.240016977899</v>
      </c>
      <c r="I52" s="115">
        <v>909059.30217802303</v>
      </c>
      <c r="J52" s="115">
        <v>119905.08578855501</v>
      </c>
      <c r="K52" s="115">
        <v>7.5618681543941593E-2</v>
      </c>
      <c r="L52" s="115">
        <v>0</v>
      </c>
      <c r="M52" s="115">
        <v>9.3022416708638395E-2</v>
      </c>
      <c r="N52" s="115">
        <v>0.16864109825258</v>
      </c>
      <c r="O52" s="115">
        <v>1.6705181882704902E-2</v>
      </c>
      <c r="P52" s="115">
        <v>3.7711981041743697E-2</v>
      </c>
      <c r="Q52" s="115">
        <v>0.146006175531362</v>
      </c>
      <c r="R52" s="115">
        <v>1.34539768886749E-2</v>
      </c>
      <c r="S52" s="115">
        <v>0.38251841359706601</v>
      </c>
      <c r="T52" s="115">
        <v>0.101749018039412</v>
      </c>
      <c r="U52" s="115">
        <v>0</v>
      </c>
      <c r="V52" s="115">
        <v>0.101811904949118</v>
      </c>
      <c r="W52" s="115">
        <v>0.20356092298853101</v>
      </c>
      <c r="X52" s="115">
        <v>1.6705181882704902E-2</v>
      </c>
      <c r="Y52" s="115">
        <v>3.7711981041728099E-2</v>
      </c>
      <c r="Z52" s="115">
        <v>0.14600617553130199</v>
      </c>
      <c r="AA52" s="115">
        <v>1.34539768886749E-2</v>
      </c>
      <c r="AB52" s="115">
        <v>0.41743823833294202</v>
      </c>
      <c r="AC52" s="115">
        <v>2.4320992866275399</v>
      </c>
      <c r="AD52" s="115">
        <v>0</v>
      </c>
      <c r="AE52" s="115">
        <v>0.44040180596322398</v>
      </c>
      <c r="AF52" s="115">
        <v>2.8725010925907699</v>
      </c>
      <c r="AG52" s="115">
        <v>0.25432047272942798</v>
      </c>
      <c r="AH52" s="115">
        <v>0</v>
      </c>
      <c r="AI52" s="115">
        <v>5.7869309300502499E-2</v>
      </c>
      <c r="AJ52" s="115">
        <v>0.31218978202993097</v>
      </c>
      <c r="AK52" s="115">
        <v>350.98423171554202</v>
      </c>
      <c r="AL52" s="115">
        <v>0</v>
      </c>
      <c r="AM52" s="115">
        <v>10.089796585356799</v>
      </c>
      <c r="AN52" s="115">
        <v>361.07402830089802</v>
      </c>
      <c r="AO52" s="115">
        <v>2.8508314209932401E-3</v>
      </c>
      <c r="AP52" s="115">
        <v>0</v>
      </c>
      <c r="AQ52" s="115">
        <v>4.7706607377177699E-4</v>
      </c>
      <c r="AR52" s="115">
        <v>3.32789749476502E-3</v>
      </c>
      <c r="AS52" s="115">
        <v>8.0165308087349202E-3</v>
      </c>
      <c r="AT52" s="115">
        <v>3.6825938402625998E-2</v>
      </c>
      <c r="AU52" s="115">
        <v>4.8170366706125997E-2</v>
      </c>
      <c r="AV52" s="115">
        <v>2.62876263911424E-3</v>
      </c>
      <c r="AW52" s="115">
        <v>0</v>
      </c>
      <c r="AX52" s="115">
        <v>4.4005138013367498E-4</v>
      </c>
      <c r="AY52" s="115">
        <v>3.0688140192479201E-3</v>
      </c>
      <c r="AZ52" s="115">
        <v>2.00413270218373E-3</v>
      </c>
      <c r="BA52" s="115">
        <v>1.5782545029696799E-2</v>
      </c>
      <c r="BB52" s="115">
        <v>2.08554917511285E-2</v>
      </c>
      <c r="BC52" s="115">
        <v>3.4732735002829499E-3</v>
      </c>
      <c r="BD52" s="115">
        <v>0</v>
      </c>
      <c r="BE52" s="115">
        <v>9.9846716565796194E-5</v>
      </c>
      <c r="BF52" s="115">
        <v>3.5731202168487498E-3</v>
      </c>
      <c r="BG52" s="115">
        <v>1.5802309934079301E-2</v>
      </c>
      <c r="BH52" s="115">
        <v>0</v>
      </c>
      <c r="BI52" s="115">
        <v>5.03501388293942E-3</v>
      </c>
      <c r="BJ52" s="115">
        <v>2.0837323817018701E-2</v>
      </c>
      <c r="BK52" s="117">
        <v>38.112520062652003</v>
      </c>
    </row>
    <row r="53" spans="2:63">
      <c r="B53" s="95" t="s">
        <v>264</v>
      </c>
      <c r="C53" s="106">
        <v>2015</v>
      </c>
      <c r="D53" s="106" t="s">
        <v>142</v>
      </c>
      <c r="E53" s="106" t="s">
        <v>131</v>
      </c>
      <c r="F53" s="106" t="s">
        <v>131</v>
      </c>
      <c r="G53" s="106" t="s">
        <v>130</v>
      </c>
      <c r="H53" s="106">
        <v>85066.871421135802</v>
      </c>
      <c r="I53" s="115">
        <v>3088778.76444291</v>
      </c>
      <c r="J53" s="115">
        <v>400390.2278768</v>
      </c>
      <c r="K53" s="115">
        <v>0.131185251160998</v>
      </c>
      <c r="L53" s="115">
        <v>0</v>
      </c>
      <c r="M53" s="115">
        <v>0.25441802969939398</v>
      </c>
      <c r="N53" s="115">
        <v>0.38560328086039197</v>
      </c>
      <c r="O53" s="115">
        <v>2.7021202307330499E-2</v>
      </c>
      <c r="P53" s="115">
        <v>6.7932538004840004E-2</v>
      </c>
      <c r="Q53" s="115">
        <v>0.23461635692712601</v>
      </c>
      <c r="R53" s="115">
        <v>2.5286472045757E-2</v>
      </c>
      <c r="S53" s="115">
        <v>0.74045985014544602</v>
      </c>
      <c r="T53" s="115">
        <v>0.18209243802064601</v>
      </c>
      <c r="U53" s="115">
        <v>0</v>
      </c>
      <c r="V53" s="115">
        <v>0.278516736476635</v>
      </c>
      <c r="W53" s="115">
        <v>0.460609174497282</v>
      </c>
      <c r="X53" s="115">
        <v>2.7021202307330499E-2</v>
      </c>
      <c r="Y53" s="115">
        <v>6.7932538004811999E-2</v>
      </c>
      <c r="Z53" s="115">
        <v>0.23461635692702901</v>
      </c>
      <c r="AA53" s="115">
        <v>2.5286472045757E-2</v>
      </c>
      <c r="AB53" s="115">
        <v>0.81546574378221104</v>
      </c>
      <c r="AC53" s="115">
        <v>5.2702080502242099</v>
      </c>
      <c r="AD53" s="115">
        <v>0</v>
      </c>
      <c r="AE53" s="115">
        <v>1.6511163545583101</v>
      </c>
      <c r="AF53" s="115">
        <v>6.9213244047825198</v>
      </c>
      <c r="AG53" s="115">
        <v>0.64555676351407099</v>
      </c>
      <c r="AH53" s="115">
        <v>0</v>
      </c>
      <c r="AI53" s="115">
        <v>0.234593652987408</v>
      </c>
      <c r="AJ53" s="115">
        <v>0.88015041650147996</v>
      </c>
      <c r="AK53" s="115">
        <v>1342.3677726609999</v>
      </c>
      <c r="AL53" s="115">
        <v>0</v>
      </c>
      <c r="AM53" s="115">
        <v>37.771815635347899</v>
      </c>
      <c r="AN53" s="115">
        <v>1380.13958829634</v>
      </c>
      <c r="AO53" s="115">
        <v>5.2475839592250701E-3</v>
      </c>
      <c r="AP53" s="115">
        <v>0</v>
      </c>
      <c r="AQ53" s="115">
        <v>9.0487133936831797E-4</v>
      </c>
      <c r="AR53" s="115">
        <v>6.1524552985933803E-3</v>
      </c>
      <c r="AS53" s="115">
        <v>2.7238366151907799E-2</v>
      </c>
      <c r="AT53" s="115">
        <v>0.125126244510326</v>
      </c>
      <c r="AU53" s="115">
        <v>0.15851706596082701</v>
      </c>
      <c r="AV53" s="115">
        <v>4.8330164585973501E-3</v>
      </c>
      <c r="AW53" s="115">
        <v>0</v>
      </c>
      <c r="AX53" s="115">
        <v>8.3350061485371095E-4</v>
      </c>
      <c r="AY53" s="115">
        <v>5.6665170734510701E-3</v>
      </c>
      <c r="AZ53" s="115">
        <v>6.8095915379769497E-3</v>
      </c>
      <c r="BA53" s="115">
        <v>5.3625533361568403E-2</v>
      </c>
      <c r="BB53" s="115">
        <v>6.6101641972996505E-2</v>
      </c>
      <c r="BC53" s="115">
        <v>1.32838173089097E-2</v>
      </c>
      <c r="BD53" s="115">
        <v>0</v>
      </c>
      <c r="BE53" s="115">
        <v>3.7378273565905599E-4</v>
      </c>
      <c r="BF53" s="115">
        <v>1.3657600044568801E-2</v>
      </c>
      <c r="BG53" s="115">
        <v>4.3271247194155697E-2</v>
      </c>
      <c r="BH53" s="115">
        <v>0</v>
      </c>
      <c r="BI53" s="115">
        <v>2.0404754629725502E-2</v>
      </c>
      <c r="BJ53" s="115">
        <v>6.3676001823881306E-2</v>
      </c>
      <c r="BK53" s="117">
        <v>145.67815357899499</v>
      </c>
    </row>
    <row r="54" spans="2:63">
      <c r="B54" s="95" t="s">
        <v>264</v>
      </c>
      <c r="C54" s="106">
        <v>2015</v>
      </c>
      <c r="D54" s="106" t="s">
        <v>141</v>
      </c>
      <c r="E54" s="106" t="s">
        <v>131</v>
      </c>
      <c r="F54" s="106" t="s">
        <v>131</v>
      </c>
      <c r="G54" s="106" t="s">
        <v>130</v>
      </c>
      <c r="H54" s="106">
        <v>6662.3950127549297</v>
      </c>
      <c r="I54" s="115">
        <v>240979.24436624401</v>
      </c>
      <c r="J54" s="115">
        <v>99259.758721479506</v>
      </c>
      <c r="K54" s="115">
        <v>3.94466538356609E-2</v>
      </c>
      <c r="L54" s="115">
        <v>3.5292658831339702E-3</v>
      </c>
      <c r="M54" s="115">
        <v>2.3089663212545901E-2</v>
      </c>
      <c r="N54" s="115">
        <v>6.6065582931340794E-2</v>
      </c>
      <c r="O54" s="115">
        <v>3.8233452226468898E-4</v>
      </c>
      <c r="P54" s="115">
        <v>1.8181630794699501E-2</v>
      </c>
      <c r="Q54" s="115">
        <v>0.12560945737401299</v>
      </c>
      <c r="R54" s="115">
        <v>2.06120442783507E-4</v>
      </c>
      <c r="S54" s="115">
        <v>0.21044512606510199</v>
      </c>
      <c r="T54" s="115">
        <v>5.3377862647250897E-2</v>
      </c>
      <c r="U54" s="115">
        <v>5.1261059836910702E-3</v>
      </c>
      <c r="V54" s="115">
        <v>2.5242640594497899E-2</v>
      </c>
      <c r="W54" s="115">
        <v>8.374660922544E-2</v>
      </c>
      <c r="X54" s="115">
        <v>3.8233452226468898E-4</v>
      </c>
      <c r="Y54" s="115">
        <v>1.8181630794692101E-2</v>
      </c>
      <c r="Z54" s="115">
        <v>0.12560945737396101</v>
      </c>
      <c r="AA54" s="115">
        <v>2.06120442783507E-4</v>
      </c>
      <c r="AB54" s="115">
        <v>0.22812615235914199</v>
      </c>
      <c r="AC54" s="115">
        <v>0.73510126387243702</v>
      </c>
      <c r="AD54" s="115">
        <v>2.7290228749284998E-2</v>
      </c>
      <c r="AE54" s="115">
        <v>0.23803901548026701</v>
      </c>
      <c r="AF54" s="115">
        <v>1.00043050810199</v>
      </c>
      <c r="AG54" s="115">
        <v>0.125714749864234</v>
      </c>
      <c r="AH54" s="115">
        <v>3.0755128048786599E-4</v>
      </c>
      <c r="AI54" s="115">
        <v>6.4470413007228305E-2</v>
      </c>
      <c r="AJ54" s="115">
        <v>0.19049271415195099</v>
      </c>
      <c r="AK54" s="115">
        <v>282.110120243952</v>
      </c>
      <c r="AL54" s="115">
        <v>0.91926769290966803</v>
      </c>
      <c r="AM54" s="115">
        <v>2.26029021426708</v>
      </c>
      <c r="AN54" s="115">
        <v>285.28967815112901</v>
      </c>
      <c r="AO54" s="115">
        <v>8.3154114205489496E-4</v>
      </c>
      <c r="AP54" s="115">
        <v>0</v>
      </c>
      <c r="AQ54" s="115">
        <v>8.4890266190012803E-5</v>
      </c>
      <c r="AR54" s="115">
        <v>9.1643140824490803E-4</v>
      </c>
      <c r="AS54" s="115">
        <v>2.12507317410338E-3</v>
      </c>
      <c r="AT54" s="115">
        <v>2.03050741785578E-2</v>
      </c>
      <c r="AU54" s="115">
        <v>2.3346578760906098E-2</v>
      </c>
      <c r="AV54" s="115">
        <v>7.6787137537133704E-4</v>
      </c>
      <c r="AW54" s="115">
        <v>0</v>
      </c>
      <c r="AX54" s="115">
        <v>7.8934650569503502E-5</v>
      </c>
      <c r="AY54" s="115">
        <v>8.4680602594084102E-4</v>
      </c>
      <c r="AZ54" s="115">
        <v>5.3126829352584696E-4</v>
      </c>
      <c r="BA54" s="115">
        <v>8.7021746479533698E-3</v>
      </c>
      <c r="BB54" s="115">
        <v>1.008024896742E-2</v>
      </c>
      <c r="BC54" s="115">
        <v>2.79170833406294E-3</v>
      </c>
      <c r="BD54" s="115">
        <v>9.0968990311709597E-6</v>
      </c>
      <c r="BE54" s="115">
        <v>2.2367403987895699E-5</v>
      </c>
      <c r="BF54" s="115">
        <v>2.8231726370820101E-3</v>
      </c>
      <c r="BG54" s="115">
        <v>7.0531043605828701E-3</v>
      </c>
      <c r="BH54" s="115">
        <v>2.24228651569436E-5</v>
      </c>
      <c r="BI54" s="115">
        <v>4.74894476197937E-3</v>
      </c>
      <c r="BJ54" s="115">
        <v>1.1824471987719101E-2</v>
      </c>
      <c r="BK54" s="117">
        <v>30.1132391974241</v>
      </c>
    </row>
    <row r="55" spans="2:63">
      <c r="B55" s="95" t="s">
        <v>264</v>
      </c>
      <c r="C55" s="106">
        <v>2015</v>
      </c>
      <c r="D55" s="106" t="s">
        <v>140</v>
      </c>
      <c r="E55" s="106" t="s">
        <v>131</v>
      </c>
      <c r="F55" s="106" t="s">
        <v>131</v>
      </c>
      <c r="G55" s="106" t="s">
        <v>130</v>
      </c>
      <c r="H55" s="106">
        <v>908.30094145117505</v>
      </c>
      <c r="I55" s="115">
        <v>34019.227501818197</v>
      </c>
      <c r="J55" s="115">
        <v>13532.3306592197</v>
      </c>
      <c r="K55" s="115">
        <v>3.5376128339658802E-3</v>
      </c>
      <c r="L55" s="115">
        <v>4.79775834040487E-4</v>
      </c>
      <c r="M55" s="115">
        <v>2.5284203065912901E-3</v>
      </c>
      <c r="N55" s="115">
        <v>6.5458089745976597E-3</v>
      </c>
      <c r="O55" s="115">
        <v>4.5584313795412102E-5</v>
      </c>
      <c r="P55" s="115">
        <v>2.0537007340724698E-3</v>
      </c>
      <c r="Q55" s="115">
        <v>1.6749980213587999E-2</v>
      </c>
      <c r="R55" s="115">
        <v>2.3825167561571199E-5</v>
      </c>
      <c r="S55" s="115">
        <v>2.5418899403615101E-2</v>
      </c>
      <c r="T55" s="115">
        <v>5.1620763430701303E-3</v>
      </c>
      <c r="U55" s="115">
        <v>7.0008777079787795E-4</v>
      </c>
      <c r="V55" s="115">
        <v>2.7683019778805798E-3</v>
      </c>
      <c r="W55" s="115">
        <v>8.6304660917485895E-3</v>
      </c>
      <c r="X55" s="115">
        <v>4.5584313795412102E-5</v>
      </c>
      <c r="Y55" s="115">
        <v>2.0537007340716302E-3</v>
      </c>
      <c r="Z55" s="115">
        <v>1.6749980213581098E-2</v>
      </c>
      <c r="AA55" s="115">
        <v>2.3825167561571199E-5</v>
      </c>
      <c r="AB55" s="115">
        <v>2.75035565207583E-2</v>
      </c>
      <c r="AC55" s="115">
        <v>6.6701015673205799E-2</v>
      </c>
      <c r="AD55" s="115">
        <v>3.7250745031486001E-3</v>
      </c>
      <c r="AE55" s="115">
        <v>3.34530380620617E-2</v>
      </c>
      <c r="AF55" s="115">
        <v>0.103879128238416</v>
      </c>
      <c r="AG55" s="115">
        <v>1.73320217787198E-2</v>
      </c>
      <c r="AH55" s="115">
        <v>4.1976136566455999E-5</v>
      </c>
      <c r="AI55" s="115">
        <v>8.8485357505004598E-3</v>
      </c>
      <c r="AJ55" s="115">
        <v>2.6222533665786699E-2</v>
      </c>
      <c r="AK55" s="115">
        <v>45.504813932081497</v>
      </c>
      <c r="AL55" s="115">
        <v>0.144450793305099</v>
      </c>
      <c r="AM55" s="115">
        <v>0.33864361264861198</v>
      </c>
      <c r="AN55" s="115">
        <v>45.987908338035197</v>
      </c>
      <c r="AO55" s="115">
        <v>9.6760972978027196E-5</v>
      </c>
      <c r="AP55" s="115">
        <v>0</v>
      </c>
      <c r="AQ55" s="115">
        <v>7.26685422834288E-6</v>
      </c>
      <c r="AR55" s="115">
        <v>1.0402782720637E-4</v>
      </c>
      <c r="AS55" s="115">
        <v>2.9999823411331299E-4</v>
      </c>
      <c r="AT55" s="115">
        <v>3.3442303147781598E-3</v>
      </c>
      <c r="AU55" s="115">
        <v>3.7482563760978401E-3</v>
      </c>
      <c r="AV55" s="115">
        <v>8.8968142939528302E-5</v>
      </c>
      <c r="AW55" s="115">
        <v>0</v>
      </c>
      <c r="AX55" s="115">
        <v>6.6816042233756603E-6</v>
      </c>
      <c r="AY55" s="115">
        <v>9.5649747162903994E-5</v>
      </c>
      <c r="AZ55" s="115">
        <v>7.4999558528328396E-5</v>
      </c>
      <c r="BA55" s="115">
        <v>1.43324156347635E-3</v>
      </c>
      <c r="BB55" s="115">
        <v>1.6038908691675801E-3</v>
      </c>
      <c r="BC55" s="115">
        <v>4.5030702260635602E-4</v>
      </c>
      <c r="BD55" s="115">
        <v>1.4294576996498001E-6</v>
      </c>
      <c r="BE55" s="115">
        <v>3.3511530706193399E-6</v>
      </c>
      <c r="BF55" s="115">
        <v>4.5508763337662498E-4</v>
      </c>
      <c r="BG55" s="115">
        <v>9.9539496493879806E-4</v>
      </c>
      <c r="BH55" s="115">
        <v>3.0709352199832401E-6</v>
      </c>
      <c r="BI55" s="115">
        <v>6.5065129933198598E-4</v>
      </c>
      <c r="BJ55" s="115">
        <v>1.6491171994907599E-3</v>
      </c>
      <c r="BK55" s="117">
        <v>4.8541710059305503</v>
      </c>
    </row>
    <row r="56" spans="2:63">
      <c r="B56" s="95" t="s">
        <v>264</v>
      </c>
      <c r="C56" s="106">
        <v>2015</v>
      </c>
      <c r="D56" s="106" t="s">
        <v>139</v>
      </c>
      <c r="E56" s="106" t="s">
        <v>131</v>
      </c>
      <c r="F56" s="106" t="s">
        <v>131</v>
      </c>
      <c r="G56" s="106" t="s">
        <v>130</v>
      </c>
      <c r="H56" s="106">
        <v>10631.0767644725</v>
      </c>
      <c r="I56" s="115">
        <v>101404.93134813001</v>
      </c>
      <c r="J56" s="115">
        <v>21262.153528945</v>
      </c>
      <c r="K56" s="115">
        <v>0.29041917776989601</v>
      </c>
      <c r="L56" s="115">
        <v>0</v>
      </c>
      <c r="M56" s="115">
        <v>5.0811436824062098E-2</v>
      </c>
      <c r="N56" s="115">
        <v>0.34123061459395798</v>
      </c>
      <c r="O56" s="115">
        <v>1.7526624904702401E-2</v>
      </c>
      <c r="P56" s="115">
        <v>2.07378676430417E-2</v>
      </c>
      <c r="Q56" s="115">
        <v>8.1779626292248803E-2</v>
      </c>
      <c r="R56" s="115">
        <v>1.1251334134154399E-2</v>
      </c>
      <c r="S56" s="115">
        <v>0.472526067568106</v>
      </c>
      <c r="T56" s="115">
        <v>0.34438037659094001</v>
      </c>
      <c r="U56" s="115">
        <v>0</v>
      </c>
      <c r="V56" s="115">
        <v>5.5217872352315803E-2</v>
      </c>
      <c r="W56" s="115">
        <v>0.39959824894325602</v>
      </c>
      <c r="X56" s="115">
        <v>1.7526624904702401E-2</v>
      </c>
      <c r="Y56" s="115">
        <v>2.07378676430332E-2</v>
      </c>
      <c r="Z56" s="115">
        <v>8.1779626292215205E-2</v>
      </c>
      <c r="AA56" s="115">
        <v>1.1251334134154399E-2</v>
      </c>
      <c r="AB56" s="115">
        <v>0.53089370191736196</v>
      </c>
      <c r="AC56" s="115">
        <v>2.8018037523001098</v>
      </c>
      <c r="AD56" s="115">
        <v>0</v>
      </c>
      <c r="AE56" s="115">
        <v>0.20745687790502601</v>
      </c>
      <c r="AF56" s="115">
        <v>3.0092606302051301</v>
      </c>
      <c r="AG56" s="115">
        <v>0.13562515992400101</v>
      </c>
      <c r="AH56" s="115">
        <v>0</v>
      </c>
      <c r="AI56" s="115">
        <v>6.3754715270308302E-3</v>
      </c>
      <c r="AJ56" s="115">
        <v>0.14200063145103101</v>
      </c>
      <c r="AK56" s="115">
        <v>24.099645631116601</v>
      </c>
      <c r="AL56" s="115">
        <v>0</v>
      </c>
      <c r="AM56" s="115">
        <v>1.53112994277673</v>
      </c>
      <c r="AN56" s="115">
        <v>25.630775573893398</v>
      </c>
      <c r="AO56" s="115">
        <v>2.11269648871078E-4</v>
      </c>
      <c r="AP56" s="115">
        <v>0</v>
      </c>
      <c r="AQ56" s="115">
        <v>1.21731105449179E-4</v>
      </c>
      <c r="AR56" s="115">
        <v>3.3300075432025802E-4</v>
      </c>
      <c r="AS56" s="115">
        <v>4.4711921123421903E-4</v>
      </c>
      <c r="AT56" s="115">
        <v>1.3145304810285999E-3</v>
      </c>
      <c r="AU56" s="115">
        <v>2.09465044658308E-3</v>
      </c>
      <c r="AV56" s="115">
        <v>1.99924885638007E-4</v>
      </c>
      <c r="AW56" s="115">
        <v>0</v>
      </c>
      <c r="AX56" s="115">
        <v>1.15786602456898E-4</v>
      </c>
      <c r="AY56" s="115">
        <v>3.15711488094906E-4</v>
      </c>
      <c r="AZ56" s="115">
        <v>1.11779802808554E-4</v>
      </c>
      <c r="BA56" s="115">
        <v>5.6337020615511598E-4</v>
      </c>
      <c r="BB56" s="115">
        <v>9.9086149705857702E-4</v>
      </c>
      <c r="BC56" s="115">
        <v>2.38485530041151E-4</v>
      </c>
      <c r="BD56" s="115">
        <v>0</v>
      </c>
      <c r="BE56" s="115">
        <v>1.51517720033823E-5</v>
      </c>
      <c r="BF56" s="115">
        <v>2.5363730204453399E-4</v>
      </c>
      <c r="BG56" s="115">
        <v>7.7177285626831701E-3</v>
      </c>
      <c r="BH56" s="115">
        <v>0</v>
      </c>
      <c r="BI56" s="115">
        <v>3.5886950403379202E-4</v>
      </c>
      <c r="BJ56" s="115">
        <v>8.0765980667169696E-3</v>
      </c>
      <c r="BK56" s="117">
        <v>2.70541044693275</v>
      </c>
    </row>
    <row r="57" spans="2:63">
      <c r="B57" s="95" t="s">
        <v>264</v>
      </c>
      <c r="C57" s="106">
        <v>2015</v>
      </c>
      <c r="D57" s="106" t="s">
        <v>138</v>
      </c>
      <c r="E57" s="106" t="s">
        <v>131</v>
      </c>
      <c r="F57" s="106" t="s">
        <v>131</v>
      </c>
      <c r="G57" s="106" t="s">
        <v>130</v>
      </c>
      <c r="H57" s="106">
        <v>52298.051191696301</v>
      </c>
      <c r="I57" s="115">
        <v>1888709.83362185</v>
      </c>
      <c r="J57" s="115">
        <v>244132.92500334099</v>
      </c>
      <c r="K57" s="115">
        <v>9.5015342416687604E-2</v>
      </c>
      <c r="L57" s="115">
        <v>0</v>
      </c>
      <c r="M57" s="115">
        <v>0.20127749284107099</v>
      </c>
      <c r="N57" s="115">
        <v>0.29629283525775901</v>
      </c>
      <c r="O57" s="115">
        <v>1.8117318808256001E-2</v>
      </c>
      <c r="P57" s="115">
        <v>4.4439021938902798E-2</v>
      </c>
      <c r="Q57" s="115">
        <v>0.14884622850527501</v>
      </c>
      <c r="R57" s="115">
        <v>1.75269591634164E-2</v>
      </c>
      <c r="S57" s="115">
        <v>0.52522236367360897</v>
      </c>
      <c r="T57" s="115">
        <v>0.13195181452680699</v>
      </c>
      <c r="U57" s="115">
        <v>0</v>
      </c>
      <c r="V57" s="115">
        <v>0.220329417479741</v>
      </c>
      <c r="W57" s="115">
        <v>0.35228123200654898</v>
      </c>
      <c r="X57" s="115">
        <v>1.8117318808256001E-2</v>
      </c>
      <c r="Y57" s="115">
        <v>4.4439021938884597E-2</v>
      </c>
      <c r="Z57" s="115">
        <v>0.14884622850521301</v>
      </c>
      <c r="AA57" s="115">
        <v>1.75269591634164E-2</v>
      </c>
      <c r="AB57" s="115">
        <v>0.58121076042232001</v>
      </c>
      <c r="AC57" s="115">
        <v>3.5046308824937</v>
      </c>
      <c r="AD57" s="115">
        <v>0</v>
      </c>
      <c r="AE57" s="115">
        <v>1.23823186256881</v>
      </c>
      <c r="AF57" s="115">
        <v>4.74286274506251</v>
      </c>
      <c r="AG57" s="115">
        <v>0.45516459005432602</v>
      </c>
      <c r="AH57" s="115">
        <v>0</v>
      </c>
      <c r="AI57" s="115">
        <v>0.169870056250533</v>
      </c>
      <c r="AJ57" s="115">
        <v>0.62503464630486005</v>
      </c>
      <c r="AK57" s="115">
        <v>978.89820351111905</v>
      </c>
      <c r="AL57" s="115">
        <v>0</v>
      </c>
      <c r="AM57" s="115">
        <v>27.645131010947701</v>
      </c>
      <c r="AN57" s="115">
        <v>1006.54333452206</v>
      </c>
      <c r="AO57" s="115">
        <v>3.3556151955592499E-3</v>
      </c>
      <c r="AP57" s="115">
        <v>0</v>
      </c>
      <c r="AQ57" s="115">
        <v>6.5737819308975395E-4</v>
      </c>
      <c r="AR57" s="115">
        <v>4.0129933886490004E-3</v>
      </c>
      <c r="AS57" s="115">
        <v>1.6655569701243898E-2</v>
      </c>
      <c r="AT57" s="115">
        <v>7.6511523315089203E-2</v>
      </c>
      <c r="AU57" s="115">
        <v>9.7180086404982199E-2</v>
      </c>
      <c r="AV57" s="115">
        <v>3.09050255079675E-3</v>
      </c>
      <c r="AW57" s="115">
        <v>0</v>
      </c>
      <c r="AX57" s="115">
        <v>6.0582538161273701E-4</v>
      </c>
      <c r="AY57" s="115">
        <v>3.69632793240948E-3</v>
      </c>
      <c r="AZ57" s="115">
        <v>4.1638924253109798E-3</v>
      </c>
      <c r="BA57" s="115">
        <v>3.2790652849323899E-2</v>
      </c>
      <c r="BB57" s="115">
        <v>4.06508732070444E-2</v>
      </c>
      <c r="BC57" s="115">
        <v>9.6869912734008599E-3</v>
      </c>
      <c r="BD57" s="115">
        <v>0</v>
      </c>
      <c r="BE57" s="115">
        <v>2.7357098204341702E-4</v>
      </c>
      <c r="BF57" s="115">
        <v>9.9605622554442795E-3</v>
      </c>
      <c r="BG57" s="115">
        <v>3.05094960864606E-2</v>
      </c>
      <c r="BH57" s="115">
        <v>0</v>
      </c>
      <c r="BI57" s="115">
        <v>1.3580547072907401E-2</v>
      </c>
      <c r="BJ57" s="115">
        <v>4.4090043159368097E-2</v>
      </c>
      <c r="BK57" s="117">
        <v>106.243872513955</v>
      </c>
    </row>
    <row r="58" spans="2:63">
      <c r="B58" s="95" t="s">
        <v>264</v>
      </c>
      <c r="C58" s="106">
        <v>2015</v>
      </c>
      <c r="D58" s="106" t="s">
        <v>137</v>
      </c>
      <c r="E58" s="106" t="s">
        <v>131</v>
      </c>
      <c r="F58" s="106" t="s">
        <v>131</v>
      </c>
      <c r="G58" s="106" t="s">
        <v>130</v>
      </c>
      <c r="H58" s="106">
        <v>771.371151282656</v>
      </c>
      <c r="I58" s="115">
        <v>6408.0978502229</v>
      </c>
      <c r="J58" s="115">
        <v>77.167969974316904</v>
      </c>
      <c r="K58" s="115">
        <v>2.8955223197793599E-3</v>
      </c>
      <c r="L58" s="115">
        <v>0</v>
      </c>
      <c r="M58" s="115">
        <v>2.7946875127274801E-5</v>
      </c>
      <c r="N58" s="115">
        <v>2.9234691949066301E-3</v>
      </c>
      <c r="O58" s="115">
        <v>1.2912957694741201E-4</v>
      </c>
      <c r="P58" s="115">
        <v>1.35611064752046E-5</v>
      </c>
      <c r="Q58" s="115">
        <v>2.7297059980997299E-4</v>
      </c>
      <c r="R58" s="115">
        <v>5.0476315805405199E-5</v>
      </c>
      <c r="S58" s="115">
        <v>3.38960679394463E-3</v>
      </c>
      <c r="T58" s="115">
        <v>3.67997368725802E-3</v>
      </c>
      <c r="U58" s="115">
        <v>0</v>
      </c>
      <c r="V58" s="115">
        <v>3.0455726321113001E-5</v>
      </c>
      <c r="W58" s="115">
        <v>3.71042941357913E-3</v>
      </c>
      <c r="X58" s="115">
        <v>1.2912957694741201E-4</v>
      </c>
      <c r="Y58" s="115">
        <v>1.3561106475199E-5</v>
      </c>
      <c r="Z58" s="115">
        <v>2.72970599809861E-4</v>
      </c>
      <c r="AA58" s="115">
        <v>5.0476315805405199E-5</v>
      </c>
      <c r="AB58" s="115">
        <v>4.1765670126170098E-3</v>
      </c>
      <c r="AC58" s="115">
        <v>7.6852622300035797E-2</v>
      </c>
      <c r="AD58" s="115">
        <v>0</v>
      </c>
      <c r="AE58" s="115">
        <v>3.3075315468588702E-4</v>
      </c>
      <c r="AF58" s="115">
        <v>7.7183375454721703E-2</v>
      </c>
      <c r="AG58" s="115">
        <v>8.2053059528732798E-3</v>
      </c>
      <c r="AH58" s="115">
        <v>0</v>
      </c>
      <c r="AI58" s="115">
        <v>2.70973609441821E-5</v>
      </c>
      <c r="AJ58" s="115">
        <v>8.2324033138174608E-3</v>
      </c>
      <c r="AK58" s="115">
        <v>13.3144993510759</v>
      </c>
      <c r="AL58" s="115">
        <v>0</v>
      </c>
      <c r="AM58" s="115">
        <v>2.8943175592627702E-3</v>
      </c>
      <c r="AN58" s="115">
        <v>13.3173936686352</v>
      </c>
      <c r="AO58" s="115">
        <v>2.93225137729984E-5</v>
      </c>
      <c r="AP58" s="115">
        <v>0</v>
      </c>
      <c r="AQ58" s="115">
        <v>1.1668825557269E-7</v>
      </c>
      <c r="AR58" s="115">
        <v>2.9439202028571099E-5</v>
      </c>
      <c r="AS58" s="115">
        <v>8.4764624901731506E-5</v>
      </c>
      <c r="AT58" s="115">
        <v>9.2068510080763998E-4</v>
      </c>
      <c r="AU58" s="115">
        <v>1.0348889277379399E-3</v>
      </c>
      <c r="AV58" s="115">
        <v>2.7264763514902701E-5</v>
      </c>
      <c r="AW58" s="115">
        <v>0</v>
      </c>
      <c r="AX58" s="115">
        <v>1.09621954128728E-7</v>
      </c>
      <c r="AY58" s="115">
        <v>2.7374385469031398E-5</v>
      </c>
      <c r="AZ58" s="115">
        <v>2.1191156225432799E-5</v>
      </c>
      <c r="BA58" s="115">
        <v>3.9457932891756001E-4</v>
      </c>
      <c r="BB58" s="115">
        <v>4.4314487061202401E-4</v>
      </c>
      <c r="BC58" s="115">
        <v>1.31757764557088E-4</v>
      </c>
      <c r="BD58" s="115">
        <v>0</v>
      </c>
      <c r="BE58" s="115">
        <v>2.8641618544671199E-8</v>
      </c>
      <c r="BF58" s="115">
        <v>1.31786406175632E-4</v>
      </c>
      <c r="BG58" s="115">
        <v>3.8771592310062302E-4</v>
      </c>
      <c r="BH58" s="115">
        <v>0</v>
      </c>
      <c r="BI58" s="115">
        <v>2.2279408771856902E-6</v>
      </c>
      <c r="BJ58" s="115">
        <v>3.8994386397780902E-4</v>
      </c>
      <c r="BK58" s="117">
        <v>1.4056935520023699</v>
      </c>
    </row>
    <row r="59" spans="2:63">
      <c r="B59" s="95" t="s">
        <v>264</v>
      </c>
      <c r="C59" s="106">
        <v>2015</v>
      </c>
      <c r="D59" s="106" t="s">
        <v>136</v>
      </c>
      <c r="E59" s="106" t="s">
        <v>131</v>
      </c>
      <c r="F59" s="106" t="s">
        <v>131</v>
      </c>
      <c r="G59" s="106" t="s">
        <v>130</v>
      </c>
      <c r="H59" s="106">
        <v>296.68121203178998</v>
      </c>
      <c r="I59" s="115">
        <v>22288.162567709402</v>
      </c>
      <c r="J59" s="115">
        <v>5935.9976903320703</v>
      </c>
      <c r="K59" s="115">
        <v>2.65230318246006E-3</v>
      </c>
      <c r="L59" s="115">
        <v>2.4305196198144E-4</v>
      </c>
      <c r="M59" s="115">
        <v>1.2353188350113899E-3</v>
      </c>
      <c r="N59" s="115">
        <v>4.13067397945289E-3</v>
      </c>
      <c r="O59" s="115">
        <v>1.0572292384514E-5</v>
      </c>
      <c r="P59" s="115">
        <v>1.6494828164931899E-4</v>
      </c>
      <c r="Q59" s="115">
        <v>1.72958536073112E-3</v>
      </c>
      <c r="R59" s="115">
        <v>4.8385449215362601E-6</v>
      </c>
      <c r="S59" s="115">
        <v>6.0406184591393899E-3</v>
      </c>
      <c r="T59" s="115">
        <v>3.7958954246456798E-3</v>
      </c>
      <c r="U59" s="115">
        <v>3.5386755362508599E-4</v>
      </c>
      <c r="V59" s="115">
        <v>1.35096855145682E-3</v>
      </c>
      <c r="W59" s="115">
        <v>5.5007315297275899E-3</v>
      </c>
      <c r="X59" s="115">
        <v>1.0572292384514E-5</v>
      </c>
      <c r="Y59" s="115">
        <v>1.6494828164925101E-4</v>
      </c>
      <c r="Z59" s="115">
        <v>1.72958536073041E-3</v>
      </c>
      <c r="AA59" s="115">
        <v>4.8385449215362601E-6</v>
      </c>
      <c r="AB59" s="115">
        <v>7.4106760094133101E-3</v>
      </c>
      <c r="AC59" s="115">
        <v>6.2361202083900003E-2</v>
      </c>
      <c r="AD59" s="115">
        <v>1.8792817481265199E-3</v>
      </c>
      <c r="AE59" s="115">
        <v>2.3407375709391099E-2</v>
      </c>
      <c r="AF59" s="115">
        <v>8.7647859541417697E-2</v>
      </c>
      <c r="AG59" s="115">
        <v>1.6593769939568199E-2</v>
      </c>
      <c r="AH59" s="115">
        <v>2.1174968322428599E-5</v>
      </c>
      <c r="AI59" s="115">
        <v>2.1751534748476299E-3</v>
      </c>
      <c r="AJ59" s="115">
        <v>1.8790098382738301E-2</v>
      </c>
      <c r="AK59" s="115">
        <v>45.916242312032203</v>
      </c>
      <c r="AL59" s="115">
        <v>0.12798803321305499</v>
      </c>
      <c r="AM59" s="115">
        <v>0.18654757715211401</v>
      </c>
      <c r="AN59" s="115">
        <v>46.230777922397401</v>
      </c>
      <c r="AO59" s="115">
        <v>1.9826655606317501E-5</v>
      </c>
      <c r="AP59" s="115">
        <v>0</v>
      </c>
      <c r="AQ59" s="115">
        <v>2.1864743947693399E-6</v>
      </c>
      <c r="AR59" s="115">
        <v>2.2013130001086801E-5</v>
      </c>
      <c r="AS59" s="115">
        <v>2.9482192437729201E-4</v>
      </c>
      <c r="AT59" s="115">
        <v>3.2022574686113498E-3</v>
      </c>
      <c r="AU59" s="115">
        <v>3.5190925229897298E-3</v>
      </c>
      <c r="AV59" s="115">
        <v>1.8270928508232699E-5</v>
      </c>
      <c r="AW59" s="115">
        <v>0</v>
      </c>
      <c r="AX59" s="115">
        <v>2.03581606535937E-6</v>
      </c>
      <c r="AY59" s="115">
        <v>2.0306744573592101E-5</v>
      </c>
      <c r="AZ59" s="115">
        <v>7.3705481094323098E-5</v>
      </c>
      <c r="BA59" s="115">
        <v>1.3723960579762899E-3</v>
      </c>
      <c r="BB59" s="115">
        <v>1.4664082836442101E-3</v>
      </c>
      <c r="BC59" s="115">
        <v>4.5437843995283498E-4</v>
      </c>
      <c r="BD59" s="115">
        <v>1.26654534290452E-6</v>
      </c>
      <c r="BE59" s="115">
        <v>1.84603950182454E-6</v>
      </c>
      <c r="BF59" s="115">
        <v>4.5749102479756399E-4</v>
      </c>
      <c r="BG59" s="115">
        <v>8.0126926116548698E-4</v>
      </c>
      <c r="BH59" s="115">
        <v>1.8350578943997999E-6</v>
      </c>
      <c r="BI59" s="115">
        <v>1.8066622718401301E-4</v>
      </c>
      <c r="BJ59" s="115">
        <v>9.8377054624390007E-4</v>
      </c>
      <c r="BK59" s="117">
        <v>4.8798066683739796</v>
      </c>
    </row>
    <row r="60" spans="2:63">
      <c r="B60" s="95" t="s">
        <v>264</v>
      </c>
      <c r="C60" s="106">
        <v>2015</v>
      </c>
      <c r="D60" s="106" t="s">
        <v>135</v>
      </c>
      <c r="E60" s="106" t="s">
        <v>131</v>
      </c>
      <c r="F60" s="106" t="s">
        <v>131</v>
      </c>
      <c r="G60" s="106" t="s">
        <v>130</v>
      </c>
      <c r="H60" s="106">
        <v>23.861848666033701</v>
      </c>
      <c r="I60" s="115">
        <v>1510.11146042</v>
      </c>
      <c r="J60" s="115">
        <v>95.447394664134805</v>
      </c>
      <c r="K60" s="115">
        <v>6.3222150545065895E-4</v>
      </c>
      <c r="L60" s="115">
        <v>2.6737083802545801E-4</v>
      </c>
      <c r="M60" s="115">
        <v>5.6936125469586799E-5</v>
      </c>
      <c r="N60" s="115">
        <v>9.5652846894570497E-4</v>
      </c>
      <c r="O60" s="115">
        <v>2.4385763032118399E-6</v>
      </c>
      <c r="P60" s="115">
        <v>3.3316466572780598E-5</v>
      </c>
      <c r="Q60" s="115">
        <v>3.8374327851226498E-4</v>
      </c>
      <c r="R60" s="115">
        <v>9.1380639677111799E-7</v>
      </c>
      <c r="S60" s="115">
        <v>1.37694059673073E-3</v>
      </c>
      <c r="T60" s="115">
        <v>9.2253613666602404E-4</v>
      </c>
      <c r="U60" s="115">
        <v>3.9014689921587002E-4</v>
      </c>
      <c r="V60" s="115">
        <v>6.2337890713591598E-5</v>
      </c>
      <c r="W60" s="115">
        <v>1.37502092659548E-3</v>
      </c>
      <c r="X60" s="115">
        <v>2.4385763032118399E-6</v>
      </c>
      <c r="Y60" s="115">
        <v>3.3316466572766903E-5</v>
      </c>
      <c r="Z60" s="115">
        <v>3.8374327851210701E-4</v>
      </c>
      <c r="AA60" s="115">
        <v>9.1380639677111799E-7</v>
      </c>
      <c r="AB60" s="115">
        <v>1.79543305438034E-3</v>
      </c>
      <c r="AC60" s="115">
        <v>1.45528952681161E-2</v>
      </c>
      <c r="AD60" s="115">
        <v>2.0879548378069999E-3</v>
      </c>
      <c r="AE60" s="115">
        <v>1.7237694502484299E-3</v>
      </c>
      <c r="AF60" s="115">
        <v>1.8364619556171601E-2</v>
      </c>
      <c r="AG60" s="115">
        <v>3.2914507790801901E-3</v>
      </c>
      <c r="AH60" s="115">
        <v>2.3540478929062399E-5</v>
      </c>
      <c r="AI60" s="115">
        <v>7.0976968653457595E-5</v>
      </c>
      <c r="AJ60" s="115">
        <v>3.3859682266627099E-3</v>
      </c>
      <c r="AK60" s="115">
        <v>1.5359780394431</v>
      </c>
      <c r="AL60" s="115">
        <v>7.0988551805469202E-2</v>
      </c>
      <c r="AM60" s="115">
        <v>6.6700744675163501E-3</v>
      </c>
      <c r="AN60" s="115">
        <v>1.6136366657160901</v>
      </c>
      <c r="AO60" s="115">
        <v>7.7986201025183203E-6</v>
      </c>
      <c r="AP60" s="115">
        <v>0</v>
      </c>
      <c r="AQ60" s="115">
        <v>1.6846566350424101E-7</v>
      </c>
      <c r="AR60" s="115">
        <v>7.9670857660225596E-6</v>
      </c>
      <c r="AS60" s="115">
        <v>1.33169035486201E-5</v>
      </c>
      <c r="AT60" s="115">
        <v>1.2398037040633201E-3</v>
      </c>
      <c r="AU60" s="115">
        <v>1.26108769337796E-3</v>
      </c>
      <c r="AV60" s="115">
        <v>7.1705433157383204E-6</v>
      </c>
      <c r="AW60" s="115">
        <v>0</v>
      </c>
      <c r="AX60" s="115">
        <v>1.54897959060946E-7</v>
      </c>
      <c r="AY60" s="115">
        <v>7.3254412747992702E-6</v>
      </c>
      <c r="AZ60" s="115">
        <v>3.3292258871550301E-6</v>
      </c>
      <c r="BA60" s="115">
        <v>5.3134444459856803E-4</v>
      </c>
      <c r="BB60" s="115">
        <v>5.4199911176052199E-4</v>
      </c>
      <c r="BC60" s="115">
        <v>1.51997478500344E-5</v>
      </c>
      <c r="BD60" s="115">
        <v>7.0248926740739805E-7</v>
      </c>
      <c r="BE60" s="115">
        <v>6.6005793991663802E-8</v>
      </c>
      <c r="BF60" s="115">
        <v>1.5968242911433501E-5</v>
      </c>
      <c r="BG60" s="115">
        <v>1.4587522451452899E-4</v>
      </c>
      <c r="BH60" s="115">
        <v>1.6038187713139801E-6</v>
      </c>
      <c r="BI60" s="115">
        <v>4.3473591256958299E-6</v>
      </c>
      <c r="BJ60" s="115">
        <v>1.5182640241153899E-4</v>
      </c>
      <c r="BK60" s="117">
        <v>0.170324517898266</v>
      </c>
    </row>
    <row r="61" spans="2:63">
      <c r="B61" s="95" t="s">
        <v>264</v>
      </c>
      <c r="C61" s="106">
        <v>2015</v>
      </c>
      <c r="D61" s="106" t="s">
        <v>134</v>
      </c>
      <c r="E61" s="106" t="s">
        <v>131</v>
      </c>
      <c r="F61" s="106" t="s">
        <v>131</v>
      </c>
      <c r="G61" s="106" t="s">
        <v>130</v>
      </c>
      <c r="H61" s="106">
        <v>721.92428261069097</v>
      </c>
      <c r="I61" s="115">
        <v>40500.533119045402</v>
      </c>
      <c r="J61" s="115">
        <v>14444.261046474699</v>
      </c>
      <c r="K61" s="115">
        <v>1.54631381426861E-2</v>
      </c>
      <c r="L61" s="115">
        <v>7.8955867528720896E-4</v>
      </c>
      <c r="M61" s="115">
        <v>6.89070602812809E-3</v>
      </c>
      <c r="N61" s="115">
        <v>2.3143402846101401E-2</v>
      </c>
      <c r="O61" s="115">
        <v>4.7169655423774799E-5</v>
      </c>
      <c r="P61" s="115">
        <v>2.8715998940761502E-3</v>
      </c>
      <c r="Q61" s="115">
        <v>1.4576812312459801E-2</v>
      </c>
      <c r="R61" s="115">
        <v>2.55475349338866E-5</v>
      </c>
      <c r="S61" s="115">
        <v>4.0664532242995099E-2</v>
      </c>
      <c r="T61" s="115">
        <v>2.1725795949658899E-2</v>
      </c>
      <c r="U61" s="115">
        <v>1.1398003848770799E-3</v>
      </c>
      <c r="V61" s="115">
        <v>7.5256880700956602E-3</v>
      </c>
      <c r="W61" s="115">
        <v>3.0391284404631701E-2</v>
      </c>
      <c r="X61" s="115">
        <v>4.7169655423774799E-5</v>
      </c>
      <c r="Y61" s="115">
        <v>2.8715998940749702E-3</v>
      </c>
      <c r="Z61" s="115">
        <v>1.45768123124538E-2</v>
      </c>
      <c r="AA61" s="115">
        <v>2.55475349338866E-5</v>
      </c>
      <c r="AB61" s="115">
        <v>4.79124138015182E-2</v>
      </c>
      <c r="AC61" s="115">
        <v>0.37112494882371</v>
      </c>
      <c r="AD61" s="115">
        <v>1.1745121454784501E-2</v>
      </c>
      <c r="AE61" s="115">
        <v>0.11792397690977099</v>
      </c>
      <c r="AF61" s="115">
        <v>0.50079404718826603</v>
      </c>
      <c r="AG61" s="115">
        <v>8.3349447520417105E-2</v>
      </c>
      <c r="AH61" s="115">
        <v>6.8777489134374994E-5</v>
      </c>
      <c r="AI61" s="115">
        <v>7.2938048563955301E-3</v>
      </c>
      <c r="AJ61" s="115">
        <v>9.0712029865946994E-2</v>
      </c>
      <c r="AK61" s="115">
        <v>83.977142573506299</v>
      </c>
      <c r="AL61" s="115">
        <v>0.44786787584430898</v>
      </c>
      <c r="AM61" s="115">
        <v>0.78113927098491798</v>
      </c>
      <c r="AN61" s="115">
        <v>85.206149720335503</v>
      </c>
      <c r="AO61" s="115">
        <v>1.02743940116676E-4</v>
      </c>
      <c r="AP61" s="115">
        <v>0</v>
      </c>
      <c r="AQ61" s="115">
        <v>1.95709666607977E-5</v>
      </c>
      <c r="AR61" s="115">
        <v>1.2231490677747401E-4</v>
      </c>
      <c r="AS61" s="115">
        <v>5.3573034906709803E-4</v>
      </c>
      <c r="AT61" s="115">
        <v>5.8189244747837996E-3</v>
      </c>
      <c r="AU61" s="115">
        <v>6.4769697306283703E-3</v>
      </c>
      <c r="AV61" s="115">
        <v>9.4934499768309103E-5</v>
      </c>
      <c r="AW61" s="115">
        <v>0</v>
      </c>
      <c r="AX61" s="115">
        <v>1.8286421582825799E-5</v>
      </c>
      <c r="AY61" s="115">
        <v>1.1322092135113399E-4</v>
      </c>
      <c r="AZ61" s="115">
        <v>1.3393258726677399E-4</v>
      </c>
      <c r="BA61" s="115">
        <v>2.4938247749073401E-3</v>
      </c>
      <c r="BB61" s="115">
        <v>2.74097828352525E-3</v>
      </c>
      <c r="BC61" s="115">
        <v>8.3102190233558303E-4</v>
      </c>
      <c r="BD61" s="115">
        <v>4.4320156982401898E-6</v>
      </c>
      <c r="BE61" s="115">
        <v>7.7300063215977292E-6</v>
      </c>
      <c r="BF61" s="115">
        <v>8.4318392435542104E-4</v>
      </c>
      <c r="BG61" s="115">
        <v>3.4598747093024401E-3</v>
      </c>
      <c r="BH61" s="115">
        <v>4.2270989632893002E-6</v>
      </c>
      <c r="BI61" s="115">
        <v>4.1296320039978099E-4</v>
      </c>
      <c r="BJ61" s="115">
        <v>3.87706500866551E-3</v>
      </c>
      <c r="BK61" s="117">
        <v>8.9937819841514806</v>
      </c>
    </row>
    <row r="62" spans="2:63">
      <c r="B62" s="95" t="s">
        <v>264</v>
      </c>
      <c r="C62" s="106">
        <v>2015</v>
      </c>
      <c r="D62" s="106" t="s">
        <v>133</v>
      </c>
      <c r="E62" s="106" t="s">
        <v>131</v>
      </c>
      <c r="F62" s="106" t="s">
        <v>131</v>
      </c>
      <c r="G62" s="106" t="s">
        <v>130</v>
      </c>
      <c r="H62" s="106">
        <v>4.5643263389506199</v>
      </c>
      <c r="I62" s="115">
        <v>328.95341414235298</v>
      </c>
      <c r="J62" s="115">
        <v>91.323041389724096</v>
      </c>
      <c r="K62" s="115">
        <v>7.7120162794126399E-4</v>
      </c>
      <c r="L62" s="115">
        <v>0</v>
      </c>
      <c r="M62" s="115">
        <v>0</v>
      </c>
      <c r="N62" s="115">
        <v>7.7120162794126399E-4</v>
      </c>
      <c r="O62" s="115">
        <v>6.8458721776897799E-7</v>
      </c>
      <c r="P62" s="115">
        <v>6.8578201609588297E-5</v>
      </c>
      <c r="Q62" s="115">
        <v>2.6247508805615901E-4</v>
      </c>
      <c r="R62" s="115">
        <v>3.9686059015597798E-7</v>
      </c>
      <c r="S62" s="115">
        <v>1.10333636541493E-3</v>
      </c>
      <c r="T62" s="115">
        <v>9.9038511663973204E-4</v>
      </c>
      <c r="U62" s="115">
        <v>0</v>
      </c>
      <c r="V62" s="115">
        <v>0</v>
      </c>
      <c r="W62" s="115">
        <v>9.9038511663973204E-4</v>
      </c>
      <c r="X62" s="115">
        <v>6.8458721776897799E-7</v>
      </c>
      <c r="Y62" s="115">
        <v>6.8578201609560094E-5</v>
      </c>
      <c r="Z62" s="115">
        <v>2.6247508805605097E-4</v>
      </c>
      <c r="AA62" s="115">
        <v>3.9686059015597798E-7</v>
      </c>
      <c r="AB62" s="115">
        <v>1.32251985411326E-3</v>
      </c>
      <c r="AC62" s="115">
        <v>3.2790776147122398E-2</v>
      </c>
      <c r="AD62" s="115">
        <v>0</v>
      </c>
      <c r="AE62" s="115">
        <v>2.0387596409451799E-4</v>
      </c>
      <c r="AF62" s="115">
        <v>3.2994652111216903E-2</v>
      </c>
      <c r="AG62" s="115">
        <v>2.2212084203378701E-3</v>
      </c>
      <c r="AH62" s="115">
        <v>0</v>
      </c>
      <c r="AI62" s="115">
        <v>0</v>
      </c>
      <c r="AJ62" s="115">
        <v>2.2212084203378701E-3</v>
      </c>
      <c r="AK62" s="115">
        <v>0.86642720137152796</v>
      </c>
      <c r="AL62" s="115">
        <v>0</v>
      </c>
      <c r="AM62" s="115">
        <v>8.6295988227265003E-3</v>
      </c>
      <c r="AN62" s="115">
        <v>0.87505680019425403</v>
      </c>
      <c r="AO62" s="115">
        <v>1.71446496167567E-6</v>
      </c>
      <c r="AP62" s="115">
        <v>0</v>
      </c>
      <c r="AQ62" s="115">
        <v>6.0138579807733201E-7</v>
      </c>
      <c r="AR62" s="115">
        <v>2.3158507597529999E-6</v>
      </c>
      <c r="AS62" s="115">
        <v>7.2521813835262096E-6</v>
      </c>
      <c r="AT62" s="115">
        <v>2.23874839309454E-5</v>
      </c>
      <c r="AU62" s="115">
        <v>3.1955516074224602E-5</v>
      </c>
      <c r="AV62" s="115">
        <v>1.61415717527619E-6</v>
      </c>
      <c r="AW62" s="115">
        <v>0</v>
      </c>
      <c r="AX62" s="115">
        <v>5.7010734584834904E-7</v>
      </c>
      <c r="AY62" s="115">
        <v>2.18426452112454E-6</v>
      </c>
      <c r="AZ62" s="115">
        <v>1.8130453458815501E-6</v>
      </c>
      <c r="BA62" s="115">
        <v>9.5946359704051802E-6</v>
      </c>
      <c r="BB62" s="115">
        <v>1.3591945837411199E-5</v>
      </c>
      <c r="BC62" s="115">
        <v>8.5739995319419105E-6</v>
      </c>
      <c r="BD62" s="115">
        <v>0</v>
      </c>
      <c r="BE62" s="115">
        <v>8.5396875986556496E-8</v>
      </c>
      <c r="BF62" s="115">
        <v>8.6593964079284699E-6</v>
      </c>
      <c r="BG62" s="115">
        <v>7.2506026397484201E-5</v>
      </c>
      <c r="BH62" s="115">
        <v>0</v>
      </c>
      <c r="BI62" s="115">
        <v>0</v>
      </c>
      <c r="BJ62" s="115">
        <v>7.2506026397484201E-5</v>
      </c>
      <c r="BK62" s="117">
        <v>9.2365047716949297E-2</v>
      </c>
    </row>
    <row r="63" spans="2:63" ht="14.5" thickBot="1">
      <c r="B63" s="113" t="s">
        <v>264</v>
      </c>
      <c r="C63" s="114">
        <v>2015</v>
      </c>
      <c r="D63" s="114" t="s">
        <v>132</v>
      </c>
      <c r="E63" s="114" t="s">
        <v>131</v>
      </c>
      <c r="F63" s="114" t="s">
        <v>131</v>
      </c>
      <c r="G63" s="114" t="s">
        <v>130</v>
      </c>
      <c r="H63" s="114">
        <v>36.352499999999999</v>
      </c>
      <c r="I63" s="116">
        <v>880.69451538863495</v>
      </c>
      <c r="J63" s="116">
        <v>145.41</v>
      </c>
      <c r="K63" s="116">
        <v>2.00181830130747E-5</v>
      </c>
      <c r="L63" s="116">
        <v>0</v>
      </c>
      <c r="M63" s="116">
        <v>6.0676967583003702E-5</v>
      </c>
      <c r="N63" s="116">
        <v>8.0695150596078399E-5</v>
      </c>
      <c r="O63" s="116">
        <v>1.4803389419408201E-7</v>
      </c>
      <c r="P63" s="116">
        <v>1.3954109715855099E-6</v>
      </c>
      <c r="Q63" s="116">
        <v>7.1590479593925002E-6</v>
      </c>
      <c r="R63" s="116">
        <v>7.7284589551714101E-8</v>
      </c>
      <c r="S63" s="116">
        <v>8.94749280108022E-5</v>
      </c>
      <c r="T63" s="116">
        <v>2.9210485661653298E-5</v>
      </c>
      <c r="U63" s="116">
        <v>0</v>
      </c>
      <c r="V63" s="116">
        <v>6.6433641959741204E-5</v>
      </c>
      <c r="W63" s="116">
        <v>9.5644127621394593E-5</v>
      </c>
      <c r="X63" s="116">
        <v>1.4803389419408201E-7</v>
      </c>
      <c r="Y63" s="116">
        <v>1.3954109715849401E-6</v>
      </c>
      <c r="Z63" s="116">
        <v>7.1590479593895602E-6</v>
      </c>
      <c r="AA63" s="116">
        <v>7.7284589551714101E-8</v>
      </c>
      <c r="AB63" s="116">
        <v>1.04423905036114E-4</v>
      </c>
      <c r="AC63" s="116">
        <v>2.4932846078810699E-4</v>
      </c>
      <c r="AD63" s="116">
        <v>0</v>
      </c>
      <c r="AE63" s="116">
        <v>1.3288937491954501E-3</v>
      </c>
      <c r="AF63" s="116">
        <v>1.5782222099835601E-3</v>
      </c>
      <c r="AG63" s="116">
        <v>1.7295967290306601E-4</v>
      </c>
      <c r="AH63" s="116">
        <v>0</v>
      </c>
      <c r="AI63" s="116">
        <v>1.0860361533608701E-4</v>
      </c>
      <c r="AJ63" s="116">
        <v>2.8156328823915301E-4</v>
      </c>
      <c r="AK63" s="116">
        <v>1.9769763576091499</v>
      </c>
      <c r="AL63" s="116">
        <v>0</v>
      </c>
      <c r="AM63" s="116">
        <v>1.47842797785E-2</v>
      </c>
      <c r="AN63" s="116">
        <v>1.99176063738765</v>
      </c>
      <c r="AO63" s="116">
        <v>1.0851966870364601E-6</v>
      </c>
      <c r="AP63" s="116">
        <v>0</v>
      </c>
      <c r="AQ63" s="116">
        <v>7.6744228374001199E-8</v>
      </c>
      <c r="AR63" s="116">
        <v>1.16194091541046E-6</v>
      </c>
      <c r="AS63" s="116">
        <v>1.07550961217657E-5</v>
      </c>
      <c r="AT63" s="116">
        <v>1.17329625964274E-4</v>
      </c>
      <c r="AU63" s="116">
        <v>1.2924666300145001E-4</v>
      </c>
      <c r="AV63" s="116">
        <v>9.9779829613419497E-7</v>
      </c>
      <c r="AW63" s="116">
        <v>0</v>
      </c>
      <c r="AX63" s="116">
        <v>7.0563485149249396E-8</v>
      </c>
      <c r="AY63" s="116">
        <v>1.0683617812834401E-6</v>
      </c>
      <c r="AZ63" s="116">
        <v>2.6887740304414401E-6</v>
      </c>
      <c r="BA63" s="116">
        <v>5.0284125413260297E-5</v>
      </c>
      <c r="BB63" s="116">
        <v>5.4041261224985199E-5</v>
      </c>
      <c r="BC63" s="116">
        <v>1.9563783706200398E-5</v>
      </c>
      <c r="BD63" s="116">
        <v>0</v>
      </c>
      <c r="BE63" s="116">
        <v>1.46302433372705E-7</v>
      </c>
      <c r="BF63" s="116">
        <v>1.9710086139573101E-5</v>
      </c>
      <c r="BG63" s="116">
        <v>1.5469142878488199E-5</v>
      </c>
      <c r="BH63" s="116">
        <v>0</v>
      </c>
      <c r="BI63" s="116">
        <v>9.4197678425710002E-6</v>
      </c>
      <c r="BJ63" s="116">
        <v>2.4888910721059201E-5</v>
      </c>
      <c r="BK63" s="118">
        <v>0.21023671408783201</v>
      </c>
    </row>
    <row r="64" spans="2:63" ht="14.5" thickBot="1"/>
    <row r="65" spans="7:65" ht="14.5" thickBot="1">
      <c r="G65" s="1307" t="s">
        <v>280</v>
      </c>
      <c r="H65" s="1308"/>
      <c r="I65" s="1308"/>
      <c r="J65" s="1308"/>
      <c r="K65" s="1308"/>
      <c r="L65" s="1308"/>
      <c r="M65" s="1308"/>
      <c r="N65" s="1308"/>
      <c r="O65" s="1308"/>
      <c r="P65" s="1308"/>
      <c r="Q65" s="1308"/>
      <c r="R65" s="1308"/>
      <c r="S65" s="1308"/>
      <c r="T65" s="1308"/>
      <c r="U65" s="1308"/>
      <c r="V65" s="1308"/>
      <c r="W65" s="1308"/>
      <c r="X65" s="1308"/>
      <c r="Y65" s="1308"/>
      <c r="Z65" s="1308"/>
      <c r="AA65" s="1308"/>
      <c r="AB65" s="1308"/>
      <c r="AC65" s="1308"/>
      <c r="AD65" s="1308"/>
      <c r="AE65" s="1308"/>
      <c r="AF65" s="1308"/>
      <c r="AG65" s="1308"/>
      <c r="AH65" s="1308"/>
      <c r="AI65" s="1308"/>
      <c r="AJ65" s="1308"/>
      <c r="AK65" s="1308"/>
      <c r="AL65" s="1308"/>
      <c r="AM65" s="1308"/>
      <c r="AN65" s="1308"/>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9"/>
    </row>
    <row r="66" spans="7:65">
      <c r="G66" s="65" t="s">
        <v>129</v>
      </c>
      <c r="H66" s="120"/>
      <c r="I66" s="126" t="s">
        <v>128</v>
      </c>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t="s">
        <v>127</v>
      </c>
      <c r="BH66" s="126" t="s">
        <v>126</v>
      </c>
      <c r="BI66" s="127" t="s">
        <v>235</v>
      </c>
      <c r="BK66" s="126" t="s">
        <v>127</v>
      </c>
      <c r="BL66" s="128" t="s">
        <v>126</v>
      </c>
      <c r="BM66" s="127" t="s">
        <v>235</v>
      </c>
    </row>
    <row r="67" spans="7:65">
      <c r="G67" s="68" t="s">
        <v>125</v>
      </c>
      <c r="H67" s="42"/>
      <c r="I67" s="92">
        <f>SUM(I10:I46)</f>
        <v>668523.39501412993</v>
      </c>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f>SUM(BG13:BG49)*1000</f>
        <v>108.64789052664558</v>
      </c>
      <c r="BH67" s="75">
        <f>I67/BG67</f>
        <v>6153.1189586251239</v>
      </c>
      <c r="BI67" s="73">
        <f>I67/SUM(I67:I68)</f>
        <v>3.9542339208093087E-2</v>
      </c>
      <c r="BK67" s="9">
        <f>SUM(BK10:BK46)*1000</f>
        <v>68117.448531596921</v>
      </c>
      <c r="BL67" s="91">
        <f>I67/BK67</f>
        <v>9.8142753351078476</v>
      </c>
      <c r="BM67" s="73">
        <f>I67/$I$70</f>
        <v>3.9542339208093087E-2</v>
      </c>
    </row>
    <row r="68" spans="7:65">
      <c r="G68" s="68" t="s">
        <v>124</v>
      </c>
      <c r="H68" s="42"/>
      <c r="I68" s="9">
        <f>SUM(I47:I63)</f>
        <v>16237997.777038937</v>
      </c>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f>SUM(BG50:BG63)*1000</f>
        <v>207.98852026340913</v>
      </c>
      <c r="BH68" s="75">
        <f>I68/BG68</f>
        <v>78071.605858218347</v>
      </c>
      <c r="BI68" s="73">
        <f>I68/SUM(I67:I68)</f>
        <v>0.96045766079190686</v>
      </c>
      <c r="BK68" s="9">
        <f>SUM(BK47:BK63)*1000</f>
        <v>696598.36077373626</v>
      </c>
      <c r="BL68" s="91">
        <f>I68/BK68</f>
        <v>23.310416290676915</v>
      </c>
      <c r="BM68" s="73">
        <f>I68/$I$70</f>
        <v>0.96045766079190686</v>
      </c>
    </row>
    <row r="69" spans="7:65" ht="14.5" thickBot="1">
      <c r="G69" s="85" t="s">
        <v>234</v>
      </c>
      <c r="H69" s="86"/>
      <c r="I69" s="87">
        <f>SUM(I47:I50)</f>
        <v>123458.58039456581</v>
      </c>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t="s">
        <v>27</v>
      </c>
      <c r="BH69" s="76" t="s">
        <v>27</v>
      </c>
      <c r="BI69" s="74">
        <f>I69/SUM(I67:I68)</f>
        <v>7.3024236706156999E-3</v>
      </c>
      <c r="BK69" s="66" t="s">
        <v>27</v>
      </c>
      <c r="BL69" s="76" t="s">
        <v>27</v>
      </c>
      <c r="BM69" s="74">
        <f>I69/$I$70</f>
        <v>7.3024236706156999E-3</v>
      </c>
    </row>
    <row r="70" spans="7:65" ht="14.5" thickBot="1">
      <c r="G70" s="26" t="s">
        <v>265</v>
      </c>
      <c r="H70" s="67"/>
      <c r="I70" s="88">
        <f>SUM(I67:I68)</f>
        <v>16906521.172053069</v>
      </c>
    </row>
    <row r="72" spans="7:65">
      <c r="BM72" s="89"/>
    </row>
    <row r="73" spans="7:65">
      <c r="I73" s="84"/>
    </row>
  </sheetData>
  <mergeCells count="1">
    <mergeCell ref="G65:BM65"/>
  </mergeCells>
  <pageMargins left="0.7" right="0.7" top="0.75" bottom="0.75" header="0.3" footer="0.3"/>
  <pageSetup orientation="portrait" r:id="rId1"/>
  <ignoredErrors>
    <ignoredError sqref="BL69:BM69 BL67:BM67 BL68:BM68 J68:BJ68 J67:BJ67 J69:BK69 I68 I69 I67 BK67 BK68"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6737-AC6D-44CE-9949-1AFDB9A2EBCD}">
  <sheetPr>
    <tabColor theme="0" tint="-0.34998626667073579"/>
  </sheetPr>
  <dimension ref="A1:BP73"/>
  <sheetViews>
    <sheetView workbookViewId="0">
      <selection activeCell="BS32" sqref="BS32"/>
    </sheetView>
  </sheetViews>
  <sheetFormatPr defaultRowHeight="14"/>
  <cols>
    <col min="1" max="1" width="14.6640625" customWidth="1"/>
    <col min="2" max="2" width="13.1640625" customWidth="1"/>
    <col min="3" max="3" width="27.1640625" customWidth="1"/>
    <col min="4" max="5" width="11.08203125" hidden="1" customWidth="1"/>
    <col min="6" max="6" width="11.1640625" customWidth="1"/>
    <col min="7" max="7" width="11.9140625" hidden="1" customWidth="1"/>
    <col min="8" max="8" width="11.9140625" customWidth="1"/>
    <col min="9" max="43" width="11.9140625" hidden="1" customWidth="1"/>
    <col min="44" max="44" width="12.83203125" hidden="1" customWidth="1"/>
    <col min="45" max="45" width="11.9140625" hidden="1" customWidth="1"/>
    <col min="46" max="46" width="12.08203125" hidden="1" customWidth="1"/>
    <col min="47" max="47" width="12.4140625" hidden="1" customWidth="1"/>
    <col min="48" max="48" width="12.58203125" hidden="1" customWidth="1"/>
    <col min="49" max="49" width="12.6640625" hidden="1" customWidth="1"/>
    <col min="50" max="50" width="12.4140625" hidden="1" customWidth="1"/>
    <col min="51" max="51" width="13.9140625" hidden="1" customWidth="1"/>
    <col min="52" max="52" width="12.6640625" hidden="1" customWidth="1"/>
    <col min="53" max="53" width="13.1640625" hidden="1" customWidth="1"/>
    <col min="54" max="54" width="13.58203125" hidden="1" customWidth="1"/>
    <col min="55" max="55" width="13.6640625" hidden="1" customWidth="1"/>
    <col min="56" max="56" width="13.83203125" hidden="1" customWidth="1"/>
    <col min="57" max="57" width="13.58203125" hidden="1" customWidth="1"/>
    <col min="58" max="65" width="11.9140625" hidden="1" customWidth="1"/>
    <col min="66" max="66" width="17.4140625" customWidth="1"/>
    <col min="68" max="68" width="11.9140625" customWidth="1"/>
  </cols>
  <sheetData>
    <row r="1" spans="1:66">
      <c r="A1" s="58" t="s">
        <v>253</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row>
    <row r="2" spans="1:66">
      <c r="A2" s="58" t="s">
        <v>231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row>
    <row r="3" spans="1:66">
      <c r="A3" s="58" t="s">
        <v>254</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row>
    <row r="4" spans="1:66">
      <c r="A4" s="58" t="s">
        <v>485</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row>
    <row r="5" spans="1:66">
      <c r="A5" s="58" t="s">
        <v>230</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row>
    <row r="6" spans="1:66">
      <c r="A6" s="58" t="s">
        <v>229</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row>
    <row r="7" spans="1:66">
      <c r="A7" s="58" t="s">
        <v>228</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row>
    <row r="8" spans="1:66" ht="14.5" thickBot="1">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row>
    <row r="9" spans="1:66">
      <c r="A9" s="72" t="s">
        <v>227</v>
      </c>
      <c r="B9" s="70" t="s">
        <v>256</v>
      </c>
      <c r="C9" s="70" t="s">
        <v>257</v>
      </c>
      <c r="D9" s="70" t="s">
        <v>258</v>
      </c>
      <c r="E9" s="70" t="s">
        <v>226</v>
      </c>
      <c r="F9" s="70" t="s">
        <v>225</v>
      </c>
      <c r="G9" s="70" t="s">
        <v>224</v>
      </c>
      <c r="H9" s="70" t="s">
        <v>128</v>
      </c>
      <c r="I9" s="70" t="s">
        <v>223</v>
      </c>
      <c r="J9" s="70" t="s">
        <v>222</v>
      </c>
      <c r="K9" s="70" t="s">
        <v>221</v>
      </c>
      <c r="L9" s="70" t="s">
        <v>220</v>
      </c>
      <c r="M9" s="70" t="s">
        <v>219</v>
      </c>
      <c r="N9" s="70" t="s">
        <v>218</v>
      </c>
      <c r="O9" s="70" t="s">
        <v>217</v>
      </c>
      <c r="P9" s="70" t="s">
        <v>216</v>
      </c>
      <c r="Q9" s="70" t="s">
        <v>215</v>
      </c>
      <c r="R9" s="70" t="s">
        <v>214</v>
      </c>
      <c r="S9" s="70" t="s">
        <v>213</v>
      </c>
      <c r="T9" s="70" t="s">
        <v>212</v>
      </c>
      <c r="U9" s="70" t="s">
        <v>211</v>
      </c>
      <c r="V9" s="70" t="s">
        <v>210</v>
      </c>
      <c r="W9" s="70" t="s">
        <v>209</v>
      </c>
      <c r="X9" s="70" t="s">
        <v>208</v>
      </c>
      <c r="Y9" s="70" t="s">
        <v>207</v>
      </c>
      <c r="Z9" s="70" t="s">
        <v>206</v>
      </c>
      <c r="AA9" s="70" t="s">
        <v>205</v>
      </c>
      <c r="AB9" s="70" t="s">
        <v>204</v>
      </c>
      <c r="AC9" s="70" t="s">
        <v>203</v>
      </c>
      <c r="AD9" s="70" t="s">
        <v>202</v>
      </c>
      <c r="AE9" s="70" t="s">
        <v>201</v>
      </c>
      <c r="AF9" s="70" t="s">
        <v>200</v>
      </c>
      <c r="AG9" s="70" t="s">
        <v>199</v>
      </c>
      <c r="AH9" s="70" t="s">
        <v>198</v>
      </c>
      <c r="AI9" s="70" t="s">
        <v>197</v>
      </c>
      <c r="AJ9" s="70" t="s">
        <v>196</v>
      </c>
      <c r="AK9" s="70" t="s">
        <v>195</v>
      </c>
      <c r="AL9" s="70" t="s">
        <v>194</v>
      </c>
      <c r="AM9" s="70" t="s">
        <v>193</v>
      </c>
      <c r="AN9" s="70" t="s">
        <v>486</v>
      </c>
      <c r="AO9" s="70" t="s">
        <v>487</v>
      </c>
      <c r="AP9" s="70" t="s">
        <v>488</v>
      </c>
      <c r="AQ9" s="70" t="s">
        <v>489</v>
      </c>
      <c r="AR9" s="70" t="s">
        <v>192</v>
      </c>
      <c r="AS9" s="70" t="s">
        <v>191</v>
      </c>
      <c r="AT9" s="70" t="s">
        <v>190</v>
      </c>
      <c r="AU9" s="70" t="s">
        <v>189</v>
      </c>
      <c r="AV9" s="70" t="s">
        <v>188</v>
      </c>
      <c r="AW9" s="70" t="s">
        <v>187</v>
      </c>
      <c r="AX9" s="70" t="s">
        <v>186</v>
      </c>
      <c r="AY9" s="70" t="s">
        <v>185</v>
      </c>
      <c r="AZ9" s="70" t="s">
        <v>184</v>
      </c>
      <c r="BA9" s="70" t="s">
        <v>183</v>
      </c>
      <c r="BB9" s="70" t="s">
        <v>182</v>
      </c>
      <c r="BC9" s="70" t="s">
        <v>181</v>
      </c>
      <c r="BD9" s="70" t="s">
        <v>180</v>
      </c>
      <c r="BE9" s="70" t="s">
        <v>179</v>
      </c>
      <c r="BF9" s="70" t="s">
        <v>178</v>
      </c>
      <c r="BG9" s="70" t="s">
        <v>177</v>
      </c>
      <c r="BH9" s="70" t="s">
        <v>176</v>
      </c>
      <c r="BI9" s="70" t="s">
        <v>175</v>
      </c>
      <c r="BJ9" s="70" t="s">
        <v>259</v>
      </c>
      <c r="BK9" s="70" t="s">
        <v>260</v>
      </c>
      <c r="BL9" s="70" t="s">
        <v>261</v>
      </c>
      <c r="BM9" s="70" t="s">
        <v>262</v>
      </c>
      <c r="BN9" s="69" t="s">
        <v>263</v>
      </c>
    </row>
    <row r="10" spans="1:66">
      <c r="A10" s="522" t="s">
        <v>264</v>
      </c>
      <c r="B10" s="523">
        <v>2017</v>
      </c>
      <c r="C10" s="523" t="s">
        <v>174</v>
      </c>
      <c r="D10" s="523" t="s">
        <v>131</v>
      </c>
      <c r="E10" s="523" t="s">
        <v>131</v>
      </c>
      <c r="F10" s="523" t="s">
        <v>146</v>
      </c>
      <c r="G10" s="523">
        <v>561.07250039919597</v>
      </c>
      <c r="H10" s="526">
        <v>37140.675863387398</v>
      </c>
      <c r="I10" s="523">
        <v>4713.0090033532497</v>
      </c>
      <c r="J10" s="523">
        <v>7.1612754014234101E-3</v>
      </c>
      <c r="K10" s="523">
        <v>5.9839565106819101E-5</v>
      </c>
      <c r="L10" s="523">
        <v>0</v>
      </c>
      <c r="M10" s="523">
        <v>7.2211149665302298E-3</v>
      </c>
      <c r="N10" s="523">
        <v>0</v>
      </c>
      <c r="O10" s="523">
        <v>0</v>
      </c>
      <c r="P10" s="523">
        <v>0</v>
      </c>
      <c r="Q10" s="523">
        <v>0</v>
      </c>
      <c r="R10" s="523">
        <v>7.2211149665302298E-3</v>
      </c>
      <c r="S10" s="523">
        <v>8.1525669190083104E-3</v>
      </c>
      <c r="T10" s="523">
        <v>6.8122789809302794E-5</v>
      </c>
      <c r="U10" s="523">
        <v>0</v>
      </c>
      <c r="V10" s="523">
        <v>8.2206897088176207E-3</v>
      </c>
      <c r="W10" s="523">
        <v>0</v>
      </c>
      <c r="X10" s="523">
        <v>0</v>
      </c>
      <c r="Y10" s="523">
        <v>0</v>
      </c>
      <c r="Z10" s="523">
        <v>0</v>
      </c>
      <c r="AA10" s="523">
        <v>8.2206897088176207E-3</v>
      </c>
      <c r="AB10" s="523">
        <v>2.02030679564538E-2</v>
      </c>
      <c r="AC10" s="523">
        <v>1.2192409367996399E-3</v>
      </c>
      <c r="AD10" s="523">
        <v>0</v>
      </c>
      <c r="AE10" s="523">
        <v>2.1422308893253399E-2</v>
      </c>
      <c r="AF10" s="523">
        <v>0.126815556899669</v>
      </c>
      <c r="AG10" s="523">
        <v>2.9913868393134199E-3</v>
      </c>
      <c r="AH10" s="523">
        <v>7.8168985309663794E-3</v>
      </c>
      <c r="AI10" s="523">
        <v>0.137623842269949</v>
      </c>
      <c r="AJ10" s="523">
        <v>47.302377080903199</v>
      </c>
      <c r="AK10" s="523">
        <v>0.41261751248032202</v>
      </c>
      <c r="AL10" s="523">
        <v>0</v>
      </c>
      <c r="AM10" s="523">
        <v>47.714994593383501</v>
      </c>
      <c r="AN10" s="523">
        <v>3.3262269455711102E-4</v>
      </c>
      <c r="AO10" s="523">
        <v>2.7793928136040799E-6</v>
      </c>
      <c r="AP10" s="523">
        <v>0</v>
      </c>
      <c r="AQ10" s="523">
        <v>3.3540208737071499E-4</v>
      </c>
      <c r="AR10" s="523">
        <v>2.4496186421879801E-3</v>
      </c>
      <c r="AS10" s="523">
        <v>1.16529699614141E-5</v>
      </c>
      <c r="AT10" s="523">
        <v>0</v>
      </c>
      <c r="AU10" s="523">
        <v>2.4612716121493899E-3</v>
      </c>
      <c r="AV10" s="523">
        <v>4.9128704519506002E-4</v>
      </c>
      <c r="AW10" s="523">
        <v>5.3361961225603504E-3</v>
      </c>
      <c r="AX10" s="523">
        <v>8.2887547799047993E-3</v>
      </c>
      <c r="AY10" s="523">
        <v>2.3436492240651498E-3</v>
      </c>
      <c r="AZ10" s="523">
        <v>1.11488676391396E-5</v>
      </c>
      <c r="BA10" s="523">
        <v>0</v>
      </c>
      <c r="BB10" s="523">
        <v>2.35479809170429E-3</v>
      </c>
      <c r="BC10" s="523">
        <v>1.22821761298765E-4</v>
      </c>
      <c r="BD10" s="523">
        <v>2.2869411953829999E-3</v>
      </c>
      <c r="BE10" s="523">
        <v>4.7645610483860699E-3</v>
      </c>
      <c r="BF10" s="523">
        <v>4.4688940398544E-4</v>
      </c>
      <c r="BG10" s="523">
        <v>3.8982056633413696E-6</v>
      </c>
      <c r="BH10" s="523">
        <v>0</v>
      </c>
      <c r="BI10" s="523">
        <v>4.5078760964878102E-4</v>
      </c>
      <c r="BJ10" s="523">
        <v>7.4352749527325096E-3</v>
      </c>
      <c r="BK10" s="523">
        <v>6.4857726924728005E-5</v>
      </c>
      <c r="BL10" s="523">
        <v>0</v>
      </c>
      <c r="BM10" s="523">
        <v>7.5001326796572398E-3</v>
      </c>
      <c r="BN10" s="528">
        <v>4.2525049156217802</v>
      </c>
    </row>
    <row r="11" spans="1:66">
      <c r="A11" s="522" t="s">
        <v>264</v>
      </c>
      <c r="B11" s="523">
        <v>2017</v>
      </c>
      <c r="C11" s="523" t="s">
        <v>144</v>
      </c>
      <c r="D11" s="523" t="s">
        <v>131</v>
      </c>
      <c r="E11" s="523" t="s">
        <v>131</v>
      </c>
      <c r="F11" s="523" t="s">
        <v>146</v>
      </c>
      <c r="G11" s="523">
        <v>2429.3652114522602</v>
      </c>
      <c r="H11" s="526">
        <v>89454.6470561967</v>
      </c>
      <c r="I11" s="523">
        <v>11386.4761499865</v>
      </c>
      <c r="J11" s="523">
        <v>2.30190933090071E-3</v>
      </c>
      <c r="K11" s="523">
        <v>0</v>
      </c>
      <c r="L11" s="523">
        <v>0</v>
      </c>
      <c r="M11" s="523">
        <v>2.30190933090071E-3</v>
      </c>
      <c r="N11" s="523">
        <v>0</v>
      </c>
      <c r="O11" s="523">
        <v>0</v>
      </c>
      <c r="P11" s="523">
        <v>0</v>
      </c>
      <c r="Q11" s="523">
        <v>0</v>
      </c>
      <c r="R11" s="523">
        <v>2.30190933090071E-3</v>
      </c>
      <c r="S11" s="523">
        <v>2.6205707318997101E-3</v>
      </c>
      <c r="T11" s="523">
        <v>0</v>
      </c>
      <c r="U11" s="523">
        <v>0</v>
      </c>
      <c r="V11" s="523">
        <v>2.6205707318997101E-3</v>
      </c>
      <c r="W11" s="523">
        <v>0</v>
      </c>
      <c r="X11" s="523">
        <v>0</v>
      </c>
      <c r="Y11" s="523">
        <v>0</v>
      </c>
      <c r="Z11" s="523">
        <v>0</v>
      </c>
      <c r="AA11" s="523">
        <v>2.6205707318997101E-3</v>
      </c>
      <c r="AB11" s="523">
        <v>2.62754097274207E-2</v>
      </c>
      <c r="AC11" s="523">
        <v>0</v>
      </c>
      <c r="AD11" s="523">
        <v>0</v>
      </c>
      <c r="AE11" s="523">
        <v>2.62754097274207E-2</v>
      </c>
      <c r="AF11" s="523">
        <v>1.7871198476775201E-2</v>
      </c>
      <c r="AG11" s="523">
        <v>0</v>
      </c>
      <c r="AH11" s="523">
        <v>0</v>
      </c>
      <c r="AI11" s="523">
        <v>1.7871198476775201E-2</v>
      </c>
      <c r="AJ11" s="523">
        <v>22.540443708946899</v>
      </c>
      <c r="AK11" s="523">
        <v>0</v>
      </c>
      <c r="AL11" s="523">
        <v>0</v>
      </c>
      <c r="AM11" s="523">
        <v>22.540443708946899</v>
      </c>
      <c r="AN11" s="523">
        <v>1.06919288482079E-4</v>
      </c>
      <c r="AO11" s="523">
        <v>0</v>
      </c>
      <c r="AP11" s="523">
        <v>0</v>
      </c>
      <c r="AQ11" s="523">
        <v>1.06919288482079E-4</v>
      </c>
      <c r="AR11" s="523">
        <v>1.3646080816953001E-3</v>
      </c>
      <c r="AS11" s="523">
        <v>0</v>
      </c>
      <c r="AT11" s="523">
        <v>0</v>
      </c>
      <c r="AU11" s="523">
        <v>1.3646080816953001E-3</v>
      </c>
      <c r="AV11" s="523">
        <v>7.8885495411835699E-4</v>
      </c>
      <c r="AW11" s="523">
        <v>3.6238024454811999E-3</v>
      </c>
      <c r="AX11" s="523">
        <v>5.77726548129486E-3</v>
      </c>
      <c r="AY11" s="523">
        <v>1.30557574013302E-3</v>
      </c>
      <c r="AZ11" s="523">
        <v>0</v>
      </c>
      <c r="BA11" s="523">
        <v>0</v>
      </c>
      <c r="BB11" s="523">
        <v>1.30557574013302E-3</v>
      </c>
      <c r="BC11" s="523">
        <v>1.97213738529589E-4</v>
      </c>
      <c r="BD11" s="523">
        <v>1.55305819092051E-3</v>
      </c>
      <c r="BE11" s="523">
        <v>3.0558476695831298E-3</v>
      </c>
      <c r="BF11" s="523">
        <v>2.13088253570211E-4</v>
      </c>
      <c r="BG11" s="523">
        <v>0</v>
      </c>
      <c r="BH11" s="523">
        <v>0</v>
      </c>
      <c r="BI11" s="523">
        <v>2.13088253570211E-4</v>
      </c>
      <c r="BJ11" s="523">
        <v>3.54304385688623E-3</v>
      </c>
      <c r="BK11" s="523">
        <v>0</v>
      </c>
      <c r="BL11" s="523">
        <v>0</v>
      </c>
      <c r="BM11" s="523">
        <v>3.54304385688623E-3</v>
      </c>
      <c r="BN11" s="528">
        <v>2.0088726508183301</v>
      </c>
    </row>
    <row r="12" spans="1:66">
      <c r="A12" s="522" t="s">
        <v>264</v>
      </c>
      <c r="B12" s="523">
        <v>2017</v>
      </c>
      <c r="C12" s="523" t="s">
        <v>143</v>
      </c>
      <c r="D12" s="523" t="s">
        <v>131</v>
      </c>
      <c r="E12" s="523" t="s">
        <v>131</v>
      </c>
      <c r="F12" s="523" t="s">
        <v>146</v>
      </c>
      <c r="G12" s="523">
        <v>23.5355467647063</v>
      </c>
      <c r="H12" s="526">
        <v>449.29815559708499</v>
      </c>
      <c r="I12" s="523">
        <v>79.634263880552894</v>
      </c>
      <c r="J12" s="523">
        <v>1.3328534717987301E-4</v>
      </c>
      <c r="K12" s="523">
        <v>0</v>
      </c>
      <c r="L12" s="523">
        <v>0</v>
      </c>
      <c r="M12" s="523">
        <v>1.3328534717987301E-4</v>
      </c>
      <c r="N12" s="523">
        <v>0</v>
      </c>
      <c r="O12" s="523">
        <v>0</v>
      </c>
      <c r="P12" s="523">
        <v>0</v>
      </c>
      <c r="Q12" s="523">
        <v>0</v>
      </c>
      <c r="R12" s="523">
        <v>1.3328534717987301E-4</v>
      </c>
      <c r="S12" s="523">
        <v>1.51736506352315E-4</v>
      </c>
      <c r="T12" s="523">
        <v>0</v>
      </c>
      <c r="U12" s="523">
        <v>0</v>
      </c>
      <c r="V12" s="523">
        <v>1.51736506352315E-4</v>
      </c>
      <c r="W12" s="523">
        <v>0</v>
      </c>
      <c r="X12" s="523">
        <v>0</v>
      </c>
      <c r="Y12" s="523">
        <v>0</v>
      </c>
      <c r="Z12" s="523">
        <v>0</v>
      </c>
      <c r="AA12" s="523">
        <v>1.51736506352315E-4</v>
      </c>
      <c r="AB12" s="523">
        <v>7.2562943928692204E-4</v>
      </c>
      <c r="AC12" s="523">
        <v>0</v>
      </c>
      <c r="AD12" s="523">
        <v>0</v>
      </c>
      <c r="AE12" s="523">
        <v>7.2562943928692204E-4</v>
      </c>
      <c r="AF12" s="523">
        <v>7.49710321105229E-4</v>
      </c>
      <c r="AG12" s="523">
        <v>0</v>
      </c>
      <c r="AH12" s="523">
        <v>0</v>
      </c>
      <c r="AI12" s="523">
        <v>7.49710321105229E-4</v>
      </c>
      <c r="AJ12" s="523">
        <v>0.21435218181726401</v>
      </c>
      <c r="AK12" s="523">
        <v>0</v>
      </c>
      <c r="AL12" s="523">
        <v>0</v>
      </c>
      <c r="AM12" s="523">
        <v>0.21435218181726401</v>
      </c>
      <c r="AN12" s="523">
        <v>6.1908496109109698E-6</v>
      </c>
      <c r="AO12" s="523">
        <v>0</v>
      </c>
      <c r="AP12" s="523">
        <v>0</v>
      </c>
      <c r="AQ12" s="523">
        <v>6.1908496109109698E-6</v>
      </c>
      <c r="AR12" s="523">
        <v>1.06893661982187E-4</v>
      </c>
      <c r="AS12" s="523">
        <v>0</v>
      </c>
      <c r="AT12" s="523">
        <v>0</v>
      </c>
      <c r="AU12" s="523">
        <v>1.06893661982187E-4</v>
      </c>
      <c r="AV12" s="523">
        <v>3.9621315111370603E-6</v>
      </c>
      <c r="AW12" s="523">
        <v>1.8201041629285801E-5</v>
      </c>
      <c r="AX12" s="523">
        <v>1.2905683512260999E-4</v>
      </c>
      <c r="AY12" s="523">
        <v>1.0226948948195201E-4</v>
      </c>
      <c r="AZ12" s="523">
        <v>0</v>
      </c>
      <c r="BA12" s="523">
        <v>0</v>
      </c>
      <c r="BB12" s="523">
        <v>1.0226948948195201E-4</v>
      </c>
      <c r="BC12" s="523">
        <v>9.9053287778426508E-7</v>
      </c>
      <c r="BD12" s="523">
        <v>7.8004464125510797E-6</v>
      </c>
      <c r="BE12" s="523">
        <v>1.11060468772287E-4</v>
      </c>
      <c r="BF12" s="523">
        <v>2.02639897697644E-6</v>
      </c>
      <c r="BG12" s="523">
        <v>0</v>
      </c>
      <c r="BH12" s="523">
        <v>0</v>
      </c>
      <c r="BI12" s="523">
        <v>2.02639897697644E-6</v>
      </c>
      <c r="BJ12" s="523">
        <v>3.3693177951788299E-5</v>
      </c>
      <c r="BK12" s="523">
        <v>0</v>
      </c>
      <c r="BL12" s="523">
        <v>0</v>
      </c>
      <c r="BM12" s="523">
        <v>3.3693177951788299E-5</v>
      </c>
      <c r="BN12" s="528">
        <v>1.91037160251207E-2</v>
      </c>
    </row>
    <row r="13" spans="1:66">
      <c r="A13" s="522" t="s">
        <v>264</v>
      </c>
      <c r="B13" s="523">
        <v>2017</v>
      </c>
      <c r="C13" s="523" t="s">
        <v>142</v>
      </c>
      <c r="D13" s="523" t="s">
        <v>131</v>
      </c>
      <c r="E13" s="523" t="s">
        <v>131</v>
      </c>
      <c r="F13" s="523" t="s">
        <v>146</v>
      </c>
      <c r="G13" s="523">
        <v>459.29793411762</v>
      </c>
      <c r="H13" s="526">
        <v>19950.770200401301</v>
      </c>
      <c r="I13" s="523">
        <v>2288.5370798751101</v>
      </c>
      <c r="J13" s="523">
        <v>3.9026269119704101E-4</v>
      </c>
      <c r="K13" s="523">
        <v>0</v>
      </c>
      <c r="L13" s="523">
        <v>0</v>
      </c>
      <c r="M13" s="523">
        <v>3.9026269119704101E-4</v>
      </c>
      <c r="N13" s="523">
        <v>0</v>
      </c>
      <c r="O13" s="523">
        <v>0</v>
      </c>
      <c r="P13" s="523">
        <v>0</v>
      </c>
      <c r="Q13" s="523">
        <v>0</v>
      </c>
      <c r="R13" s="523">
        <v>3.9026269119704101E-4</v>
      </c>
      <c r="S13" s="523">
        <v>4.44288127501185E-4</v>
      </c>
      <c r="T13" s="523">
        <v>0</v>
      </c>
      <c r="U13" s="523">
        <v>0</v>
      </c>
      <c r="V13" s="523">
        <v>4.44288127501185E-4</v>
      </c>
      <c r="W13" s="523">
        <v>0</v>
      </c>
      <c r="X13" s="523">
        <v>0</v>
      </c>
      <c r="Y13" s="523">
        <v>0</v>
      </c>
      <c r="Z13" s="523">
        <v>0</v>
      </c>
      <c r="AA13" s="523">
        <v>4.44288127501185E-4</v>
      </c>
      <c r="AB13" s="523">
        <v>2.7801264261596501E-3</v>
      </c>
      <c r="AC13" s="523">
        <v>0</v>
      </c>
      <c r="AD13" s="523">
        <v>0</v>
      </c>
      <c r="AE13" s="523">
        <v>2.7801264261596501E-3</v>
      </c>
      <c r="AF13" s="523">
        <v>1.4693744474415401E-3</v>
      </c>
      <c r="AG13" s="523">
        <v>0</v>
      </c>
      <c r="AH13" s="523">
        <v>0</v>
      </c>
      <c r="AI13" s="523">
        <v>1.4693744474415401E-3</v>
      </c>
      <c r="AJ13" s="523">
        <v>6.8901434062613101</v>
      </c>
      <c r="AK13" s="523">
        <v>0</v>
      </c>
      <c r="AL13" s="523">
        <v>0</v>
      </c>
      <c r="AM13" s="523">
        <v>6.8901434062613101</v>
      </c>
      <c r="AN13" s="523">
        <v>1.8126956046336501E-5</v>
      </c>
      <c r="AO13" s="523">
        <v>0</v>
      </c>
      <c r="AP13" s="523">
        <v>0</v>
      </c>
      <c r="AQ13" s="523">
        <v>1.8126956046336501E-5</v>
      </c>
      <c r="AR13" s="523">
        <v>1.7549795278825499E-4</v>
      </c>
      <c r="AS13" s="523">
        <v>0</v>
      </c>
      <c r="AT13" s="523">
        <v>0</v>
      </c>
      <c r="AU13" s="523">
        <v>1.7549795278825499E-4</v>
      </c>
      <c r="AV13" s="523">
        <v>1.7593567722844501E-4</v>
      </c>
      <c r="AW13" s="523">
        <v>8.0820451726817E-4</v>
      </c>
      <c r="AX13" s="523">
        <v>1.15963814728487E-3</v>
      </c>
      <c r="AY13" s="523">
        <v>1.6790598903584599E-4</v>
      </c>
      <c r="AZ13" s="523">
        <v>0</v>
      </c>
      <c r="BA13" s="523">
        <v>0</v>
      </c>
      <c r="BB13" s="523">
        <v>1.6790598903584599E-4</v>
      </c>
      <c r="BC13" s="523">
        <v>4.39839193071113E-5</v>
      </c>
      <c r="BD13" s="523">
        <v>3.4637336454350099E-4</v>
      </c>
      <c r="BE13" s="523">
        <v>5.5826327288645901E-4</v>
      </c>
      <c r="BF13" s="523">
        <v>6.5136633699262696E-5</v>
      </c>
      <c r="BG13" s="523">
        <v>0</v>
      </c>
      <c r="BH13" s="523">
        <v>0</v>
      </c>
      <c r="BI13" s="523">
        <v>6.5136633699262696E-5</v>
      </c>
      <c r="BJ13" s="523">
        <v>1.08303459256791E-3</v>
      </c>
      <c r="BK13" s="523">
        <v>0</v>
      </c>
      <c r="BL13" s="523">
        <v>0</v>
      </c>
      <c r="BM13" s="523">
        <v>1.08303459256791E-3</v>
      </c>
      <c r="BN13" s="528">
        <v>0.614070460536701</v>
      </c>
    </row>
    <row r="14" spans="1:66">
      <c r="A14" s="522" t="s">
        <v>264</v>
      </c>
      <c r="B14" s="523">
        <v>2017</v>
      </c>
      <c r="C14" s="523" t="s">
        <v>141</v>
      </c>
      <c r="D14" s="523" t="s">
        <v>131</v>
      </c>
      <c r="E14" s="523" t="s">
        <v>131</v>
      </c>
      <c r="F14" s="523" t="s">
        <v>146</v>
      </c>
      <c r="G14" s="523">
        <v>3362.7747501413401</v>
      </c>
      <c r="H14" s="526">
        <v>139057.69200521801</v>
      </c>
      <c r="I14" s="523">
        <v>42299.475986142403</v>
      </c>
      <c r="J14" s="523">
        <v>2.8395392430043499E-2</v>
      </c>
      <c r="K14" s="523">
        <v>4.0685986262676801E-4</v>
      </c>
      <c r="L14" s="523">
        <v>0</v>
      </c>
      <c r="M14" s="523">
        <v>2.8802252292670201E-2</v>
      </c>
      <c r="N14" s="523">
        <v>0</v>
      </c>
      <c r="O14" s="523">
        <v>0</v>
      </c>
      <c r="P14" s="523">
        <v>0</v>
      </c>
      <c r="Q14" s="523">
        <v>0</v>
      </c>
      <c r="R14" s="523">
        <v>2.8802252292670201E-2</v>
      </c>
      <c r="S14" s="523">
        <v>3.2326266427645099E-2</v>
      </c>
      <c r="T14" s="523">
        <v>4.6318290371899902E-4</v>
      </c>
      <c r="U14" s="523">
        <v>0</v>
      </c>
      <c r="V14" s="523">
        <v>3.2789449331364101E-2</v>
      </c>
      <c r="W14" s="523">
        <v>0</v>
      </c>
      <c r="X14" s="523">
        <v>0</v>
      </c>
      <c r="Y14" s="523">
        <v>0</v>
      </c>
      <c r="Z14" s="523">
        <v>0</v>
      </c>
      <c r="AA14" s="523">
        <v>3.2789449331364101E-2</v>
      </c>
      <c r="AB14" s="523">
        <v>0.11901245564132901</v>
      </c>
      <c r="AC14" s="523">
        <v>3.3722644996674201E-3</v>
      </c>
      <c r="AD14" s="523">
        <v>0</v>
      </c>
      <c r="AE14" s="523">
        <v>0.12238472014099699</v>
      </c>
      <c r="AF14" s="523">
        <v>0.44522624646394798</v>
      </c>
      <c r="AG14" s="523">
        <v>9.2385803239181108E-3</v>
      </c>
      <c r="AH14" s="523">
        <v>0</v>
      </c>
      <c r="AI14" s="523">
        <v>0.45446482678786598</v>
      </c>
      <c r="AJ14" s="523">
        <v>89.409669662135599</v>
      </c>
      <c r="AK14" s="523">
        <v>0.52075808331728501</v>
      </c>
      <c r="AL14" s="523">
        <v>0</v>
      </c>
      <c r="AM14" s="523">
        <v>89.930427745452903</v>
      </c>
      <c r="AN14" s="523">
        <v>1.3189117025741799E-3</v>
      </c>
      <c r="AO14" s="523">
        <v>1.8897862934917999E-5</v>
      </c>
      <c r="AP14" s="523">
        <v>0</v>
      </c>
      <c r="AQ14" s="523">
        <v>1.3378095655091E-3</v>
      </c>
      <c r="AR14" s="523">
        <v>4.9035920731222401E-3</v>
      </c>
      <c r="AS14" s="523">
        <v>1.08349208946958E-4</v>
      </c>
      <c r="AT14" s="523">
        <v>0</v>
      </c>
      <c r="AU14" s="523">
        <v>5.0119412820691898E-3</v>
      </c>
      <c r="AV14" s="523">
        <v>1.8394184012206999E-3</v>
      </c>
      <c r="AW14" s="523">
        <v>1.1717095215775899E-2</v>
      </c>
      <c r="AX14" s="523">
        <v>1.8568454899065799E-2</v>
      </c>
      <c r="AY14" s="523">
        <v>4.6914648506430996E-3</v>
      </c>
      <c r="AZ14" s="523">
        <v>1.03662070129333E-4</v>
      </c>
      <c r="BA14" s="523">
        <v>0</v>
      </c>
      <c r="BB14" s="523">
        <v>4.7951269207724403E-3</v>
      </c>
      <c r="BC14" s="523">
        <v>4.5985460030517698E-4</v>
      </c>
      <c r="BD14" s="523">
        <v>5.0216122353325303E-3</v>
      </c>
      <c r="BE14" s="523">
        <v>1.02765937564101E-2</v>
      </c>
      <c r="BF14" s="523">
        <v>8.4524291564995295E-4</v>
      </c>
      <c r="BG14" s="523">
        <v>4.92303665089807E-6</v>
      </c>
      <c r="BH14" s="523">
        <v>0</v>
      </c>
      <c r="BI14" s="523">
        <v>8.5016595230085097E-4</v>
      </c>
      <c r="BJ14" s="523">
        <v>1.4053954967928E-2</v>
      </c>
      <c r="BK14" s="523">
        <v>8.1855918714181995E-5</v>
      </c>
      <c r="BL14" s="523">
        <v>0</v>
      </c>
      <c r="BM14" s="523">
        <v>1.4135810886642199E-2</v>
      </c>
      <c r="BN14" s="528">
        <v>8.0148722494990601</v>
      </c>
    </row>
    <row r="15" spans="1:66">
      <c r="A15" s="522" t="s">
        <v>264</v>
      </c>
      <c r="B15" s="523">
        <v>2017</v>
      </c>
      <c r="C15" s="523" t="s">
        <v>140</v>
      </c>
      <c r="D15" s="523" t="s">
        <v>131</v>
      </c>
      <c r="E15" s="523" t="s">
        <v>131</v>
      </c>
      <c r="F15" s="523" t="s">
        <v>146</v>
      </c>
      <c r="G15" s="523">
        <v>1183.7219052149001</v>
      </c>
      <c r="H15" s="526">
        <v>50747.427190791001</v>
      </c>
      <c r="I15" s="523">
        <v>14889.7324454467</v>
      </c>
      <c r="J15" s="523">
        <v>9.1545974363616001E-3</v>
      </c>
      <c r="K15" s="523">
        <v>1.4321771974878499E-4</v>
      </c>
      <c r="L15" s="523">
        <v>0</v>
      </c>
      <c r="M15" s="523">
        <v>9.2978151561103808E-3</v>
      </c>
      <c r="N15" s="523">
        <v>0</v>
      </c>
      <c r="O15" s="523">
        <v>0</v>
      </c>
      <c r="P15" s="523">
        <v>0</v>
      </c>
      <c r="Q15" s="523">
        <v>0</v>
      </c>
      <c r="R15" s="523">
        <v>9.2978151561103808E-3</v>
      </c>
      <c r="S15" s="523">
        <v>1.0421900542306E-2</v>
      </c>
      <c r="T15" s="523">
        <v>1.6304385217302499E-4</v>
      </c>
      <c r="U15" s="523">
        <v>0</v>
      </c>
      <c r="V15" s="523">
        <v>1.0584944394479E-2</v>
      </c>
      <c r="W15" s="523">
        <v>0</v>
      </c>
      <c r="X15" s="523">
        <v>0</v>
      </c>
      <c r="Y15" s="523">
        <v>0</v>
      </c>
      <c r="Z15" s="523">
        <v>0</v>
      </c>
      <c r="AA15" s="523">
        <v>1.0584944394479E-2</v>
      </c>
      <c r="AB15" s="523">
        <v>3.7454717548854002E-2</v>
      </c>
      <c r="AC15" s="523">
        <v>1.18706236814319E-3</v>
      </c>
      <c r="AD15" s="523">
        <v>0</v>
      </c>
      <c r="AE15" s="523">
        <v>3.8641779916997201E-2</v>
      </c>
      <c r="AF15" s="523">
        <v>0.11974253413753699</v>
      </c>
      <c r="AG15" s="523">
        <v>3.2435259406502401E-3</v>
      </c>
      <c r="AH15" s="523">
        <v>0</v>
      </c>
      <c r="AI15" s="523">
        <v>0.12298606007818801</v>
      </c>
      <c r="AJ15" s="523">
        <v>36.540142137398298</v>
      </c>
      <c r="AK15" s="523">
        <v>0.29192222071062801</v>
      </c>
      <c r="AL15" s="523">
        <v>0</v>
      </c>
      <c r="AM15" s="523">
        <v>36.832064358108902</v>
      </c>
      <c r="AN15" s="523">
        <v>4.2521355254798498E-4</v>
      </c>
      <c r="AO15" s="523">
        <v>6.6521893317032804E-6</v>
      </c>
      <c r="AP15" s="523">
        <v>0</v>
      </c>
      <c r="AQ15" s="523">
        <v>4.31865741879689E-4</v>
      </c>
      <c r="AR15" s="523">
        <v>1.5176898124465701E-3</v>
      </c>
      <c r="AS15" s="523">
        <v>3.7904844046992003E-5</v>
      </c>
      <c r="AT15" s="523">
        <v>0</v>
      </c>
      <c r="AU15" s="523">
        <v>1.55559465649356E-3</v>
      </c>
      <c r="AV15" s="523">
        <v>6.7127355591264904E-4</v>
      </c>
      <c r="AW15" s="523">
        <v>4.9886813096908398E-3</v>
      </c>
      <c r="AX15" s="523">
        <v>7.2155495220970504E-3</v>
      </c>
      <c r="AY15" s="523">
        <v>1.4520352229745301E-3</v>
      </c>
      <c r="AZ15" s="523">
        <v>3.6265097272323401E-5</v>
      </c>
      <c r="BA15" s="523">
        <v>0</v>
      </c>
      <c r="BB15" s="523">
        <v>1.48830032024686E-3</v>
      </c>
      <c r="BC15" s="523">
        <v>1.6781838897816199E-4</v>
      </c>
      <c r="BD15" s="523">
        <v>2.1380062755817801E-3</v>
      </c>
      <c r="BE15" s="523">
        <v>3.7941249848068102E-3</v>
      </c>
      <c r="BF15" s="523">
        <v>3.4543574979293298E-4</v>
      </c>
      <c r="BG15" s="523">
        <v>2.75971480387825E-6</v>
      </c>
      <c r="BH15" s="523">
        <v>0</v>
      </c>
      <c r="BI15" s="523">
        <v>3.4819546459681098E-4</v>
      </c>
      <c r="BJ15" s="523">
        <v>5.7436014925593996E-3</v>
      </c>
      <c r="BK15" s="523">
        <v>4.5886107839431599E-5</v>
      </c>
      <c r="BL15" s="523">
        <v>0</v>
      </c>
      <c r="BM15" s="523">
        <v>5.7894876003988299E-3</v>
      </c>
      <c r="BN15" s="528">
        <v>3.2825851929798802</v>
      </c>
    </row>
    <row r="16" spans="1:66">
      <c r="A16" s="522" t="s">
        <v>264</v>
      </c>
      <c r="B16" s="523">
        <v>2017</v>
      </c>
      <c r="C16" s="523" t="s">
        <v>138</v>
      </c>
      <c r="D16" s="523" t="s">
        <v>131</v>
      </c>
      <c r="E16" s="523" t="s">
        <v>131</v>
      </c>
      <c r="F16" s="523" t="s">
        <v>146</v>
      </c>
      <c r="G16" s="523">
        <v>1063.06842080914</v>
      </c>
      <c r="H16" s="526">
        <v>46714.302986696501</v>
      </c>
      <c r="I16" s="523">
        <v>5276.5820295039603</v>
      </c>
      <c r="J16" s="523">
        <v>6.0052912514599397E-4</v>
      </c>
      <c r="K16" s="523">
        <v>0</v>
      </c>
      <c r="L16" s="523">
        <v>0</v>
      </c>
      <c r="M16" s="523">
        <v>6.0052912514599397E-4</v>
      </c>
      <c r="N16" s="523">
        <v>0</v>
      </c>
      <c r="O16" s="523">
        <v>0</v>
      </c>
      <c r="P16" s="523">
        <v>0</v>
      </c>
      <c r="Q16" s="523">
        <v>0</v>
      </c>
      <c r="R16" s="523">
        <v>6.0052912514599397E-4</v>
      </c>
      <c r="S16" s="523">
        <v>6.8366248308970097E-4</v>
      </c>
      <c r="T16" s="523">
        <v>0</v>
      </c>
      <c r="U16" s="523">
        <v>0</v>
      </c>
      <c r="V16" s="523">
        <v>6.8366248308970097E-4</v>
      </c>
      <c r="W16" s="523">
        <v>0</v>
      </c>
      <c r="X16" s="523">
        <v>0</v>
      </c>
      <c r="Y16" s="523">
        <v>0</v>
      </c>
      <c r="Z16" s="523">
        <v>0</v>
      </c>
      <c r="AA16" s="523">
        <v>6.8366248308970097E-4</v>
      </c>
      <c r="AB16" s="523">
        <v>9.2727982505722804E-3</v>
      </c>
      <c r="AC16" s="523">
        <v>0</v>
      </c>
      <c r="AD16" s="523">
        <v>0</v>
      </c>
      <c r="AE16" s="523">
        <v>9.2727982505722804E-3</v>
      </c>
      <c r="AF16" s="523">
        <v>3.16533355786366E-3</v>
      </c>
      <c r="AG16" s="523">
        <v>0</v>
      </c>
      <c r="AH16" s="523">
        <v>0</v>
      </c>
      <c r="AI16" s="523">
        <v>3.16533355786366E-3</v>
      </c>
      <c r="AJ16" s="523">
        <v>21.149354433078599</v>
      </c>
      <c r="AK16" s="523">
        <v>0</v>
      </c>
      <c r="AL16" s="523">
        <v>0</v>
      </c>
      <c r="AM16" s="523">
        <v>21.149354433078599</v>
      </c>
      <c r="AN16" s="523">
        <v>2.7893429993722298E-5</v>
      </c>
      <c r="AO16" s="523">
        <v>0</v>
      </c>
      <c r="AP16" s="523">
        <v>0</v>
      </c>
      <c r="AQ16" s="523">
        <v>2.7893429993722298E-5</v>
      </c>
      <c r="AR16" s="523">
        <v>2.79494678855236E-4</v>
      </c>
      <c r="AS16" s="523">
        <v>0</v>
      </c>
      <c r="AT16" s="523">
        <v>0</v>
      </c>
      <c r="AU16" s="523">
        <v>2.79494678855236E-4</v>
      </c>
      <c r="AV16" s="523">
        <v>4.1194963651347598E-4</v>
      </c>
      <c r="AW16" s="523">
        <v>1.8923936427337801E-3</v>
      </c>
      <c r="AX16" s="523">
        <v>2.58383795810249E-3</v>
      </c>
      <c r="AY16" s="523">
        <v>2.67403862767937E-4</v>
      </c>
      <c r="AZ16" s="523">
        <v>0</v>
      </c>
      <c r="BA16" s="523">
        <v>0</v>
      </c>
      <c r="BB16" s="523">
        <v>2.67403862767937E-4</v>
      </c>
      <c r="BC16" s="523">
        <v>1.02987409128369E-4</v>
      </c>
      <c r="BD16" s="523">
        <v>8.1102584688590596E-4</v>
      </c>
      <c r="BE16" s="523">
        <v>1.1814171187822099E-3</v>
      </c>
      <c r="BF16" s="523">
        <v>1.99937457242392E-4</v>
      </c>
      <c r="BG16" s="523">
        <v>0</v>
      </c>
      <c r="BH16" s="523">
        <v>0</v>
      </c>
      <c r="BI16" s="523">
        <v>1.99937457242392E-4</v>
      </c>
      <c r="BJ16" s="523">
        <v>3.3243839947784898E-3</v>
      </c>
      <c r="BK16" s="523">
        <v>0</v>
      </c>
      <c r="BL16" s="523">
        <v>0</v>
      </c>
      <c r="BM16" s="523">
        <v>3.3243839947784898E-3</v>
      </c>
      <c r="BN16" s="528">
        <v>1.8848945589394499</v>
      </c>
    </row>
    <row r="17" spans="1:66">
      <c r="A17" s="522" t="s">
        <v>264</v>
      </c>
      <c r="B17" s="523">
        <v>2017</v>
      </c>
      <c r="C17" s="523" t="s">
        <v>137</v>
      </c>
      <c r="D17" s="523" t="s">
        <v>131</v>
      </c>
      <c r="E17" s="523" t="s">
        <v>131</v>
      </c>
      <c r="F17" s="523" t="s">
        <v>146</v>
      </c>
      <c r="G17" s="523">
        <v>226.69668133288701</v>
      </c>
      <c r="H17" s="526">
        <v>2523.3608704734402</v>
      </c>
      <c r="I17" s="523">
        <v>22.669668133288699</v>
      </c>
      <c r="J17" s="523">
        <v>3.2367300954511499E-4</v>
      </c>
      <c r="K17" s="523">
        <v>0</v>
      </c>
      <c r="L17" s="523">
        <v>0</v>
      </c>
      <c r="M17" s="523">
        <v>3.2367300954511499E-4</v>
      </c>
      <c r="N17" s="523">
        <v>0</v>
      </c>
      <c r="O17" s="523">
        <v>0</v>
      </c>
      <c r="P17" s="523">
        <v>0</v>
      </c>
      <c r="Q17" s="523">
        <v>0</v>
      </c>
      <c r="R17" s="523">
        <v>3.2367300954511499E-4</v>
      </c>
      <c r="S17" s="523">
        <v>3.6848020212330997E-4</v>
      </c>
      <c r="T17" s="523">
        <v>0</v>
      </c>
      <c r="U17" s="523">
        <v>0</v>
      </c>
      <c r="V17" s="523">
        <v>3.6848020212330997E-4</v>
      </c>
      <c r="W17" s="523">
        <v>0</v>
      </c>
      <c r="X17" s="523">
        <v>0</v>
      </c>
      <c r="Y17" s="523">
        <v>0</v>
      </c>
      <c r="Z17" s="523">
        <v>0</v>
      </c>
      <c r="AA17" s="523">
        <v>3.6848020212330997E-4</v>
      </c>
      <c r="AB17" s="523">
        <v>1.1786014099660401E-3</v>
      </c>
      <c r="AC17" s="523">
        <v>0</v>
      </c>
      <c r="AD17" s="523">
        <v>0</v>
      </c>
      <c r="AE17" s="523">
        <v>1.1786014099660401E-3</v>
      </c>
      <c r="AF17" s="523">
        <v>1.28107078615188E-2</v>
      </c>
      <c r="AG17" s="523">
        <v>0</v>
      </c>
      <c r="AH17" s="523">
        <v>0</v>
      </c>
      <c r="AI17" s="523">
        <v>1.28107078615188E-2</v>
      </c>
      <c r="AJ17" s="523">
        <v>2.93223540777764</v>
      </c>
      <c r="AK17" s="523">
        <v>0</v>
      </c>
      <c r="AL17" s="523">
        <v>0</v>
      </c>
      <c r="AM17" s="523">
        <v>2.93223540777764</v>
      </c>
      <c r="AN17" s="523">
        <v>1.50339926151112E-5</v>
      </c>
      <c r="AO17" s="523">
        <v>0</v>
      </c>
      <c r="AP17" s="523">
        <v>0</v>
      </c>
      <c r="AQ17" s="523">
        <v>1.50339926151112E-5</v>
      </c>
      <c r="AR17" s="523">
        <v>3.2678015858704301E-4</v>
      </c>
      <c r="AS17" s="523">
        <v>0</v>
      </c>
      <c r="AT17" s="523">
        <v>0</v>
      </c>
      <c r="AU17" s="523">
        <v>3.2678015858704301E-4</v>
      </c>
      <c r="AV17" s="523">
        <v>4.4504467665070101E-5</v>
      </c>
      <c r="AW17" s="523">
        <v>3.6254451971657697E-4</v>
      </c>
      <c r="AX17" s="523">
        <v>7.3382914596869196E-4</v>
      </c>
      <c r="AY17" s="523">
        <v>3.12643793577745E-4</v>
      </c>
      <c r="AZ17" s="523">
        <v>0</v>
      </c>
      <c r="BA17" s="523">
        <v>0</v>
      </c>
      <c r="BB17" s="523">
        <v>3.12643793577745E-4</v>
      </c>
      <c r="BC17" s="523">
        <v>1.11261169162675E-5</v>
      </c>
      <c r="BD17" s="523">
        <v>1.55376222735676E-4</v>
      </c>
      <c r="BE17" s="523">
        <v>4.7914613322968798E-4</v>
      </c>
      <c r="BF17" s="523">
        <v>2.7720169583532301E-5</v>
      </c>
      <c r="BG17" s="523">
        <v>0</v>
      </c>
      <c r="BH17" s="523">
        <v>0</v>
      </c>
      <c r="BI17" s="523">
        <v>2.7720169583532301E-5</v>
      </c>
      <c r="BJ17" s="523">
        <v>4.60906572320365E-4</v>
      </c>
      <c r="BK17" s="523">
        <v>0</v>
      </c>
      <c r="BL17" s="523">
        <v>0</v>
      </c>
      <c r="BM17" s="523">
        <v>4.60906572320365E-4</v>
      </c>
      <c r="BN17" s="528">
        <v>0.26132970550653101</v>
      </c>
    </row>
    <row r="18" spans="1:66">
      <c r="A18" s="522" t="s">
        <v>264</v>
      </c>
      <c r="B18" s="523">
        <v>2017</v>
      </c>
      <c r="C18" s="523" t="s">
        <v>173</v>
      </c>
      <c r="D18" s="523" t="s">
        <v>131</v>
      </c>
      <c r="E18" s="523" t="s">
        <v>131</v>
      </c>
      <c r="F18" s="523" t="s">
        <v>146</v>
      </c>
      <c r="G18" s="523">
        <v>73.081464744629898</v>
      </c>
      <c r="H18" s="526">
        <v>9093.5757550774197</v>
      </c>
      <c r="I18" s="523">
        <v>1066.98938527159</v>
      </c>
      <c r="J18" s="523">
        <v>4.0401814705263899E-3</v>
      </c>
      <c r="K18" s="523">
        <v>6.2591211033252497E-4</v>
      </c>
      <c r="L18" s="523">
        <v>0</v>
      </c>
      <c r="M18" s="523">
        <v>4.6660935808589196E-3</v>
      </c>
      <c r="N18" s="523">
        <v>0</v>
      </c>
      <c r="O18" s="523">
        <v>0</v>
      </c>
      <c r="P18" s="523">
        <v>0</v>
      </c>
      <c r="Q18" s="523">
        <v>0</v>
      </c>
      <c r="R18" s="523">
        <v>4.6660935808589196E-3</v>
      </c>
      <c r="S18" s="523">
        <v>4.5994390603742103E-3</v>
      </c>
      <c r="T18" s="523">
        <v>7.1255329237713302E-4</v>
      </c>
      <c r="U18" s="523">
        <v>0</v>
      </c>
      <c r="V18" s="523">
        <v>5.3119923527513496E-3</v>
      </c>
      <c r="W18" s="523">
        <v>0</v>
      </c>
      <c r="X18" s="523">
        <v>0</v>
      </c>
      <c r="Y18" s="523">
        <v>0</v>
      </c>
      <c r="Z18" s="523">
        <v>0</v>
      </c>
      <c r="AA18" s="523">
        <v>5.3119923527513496E-3</v>
      </c>
      <c r="AB18" s="523">
        <v>1.26478927762072E-2</v>
      </c>
      <c r="AC18" s="523">
        <v>4.5265560018669304E-3</v>
      </c>
      <c r="AD18" s="523">
        <v>0</v>
      </c>
      <c r="AE18" s="523">
        <v>1.71744487780741E-2</v>
      </c>
      <c r="AF18" s="523">
        <v>7.0307350012070405E-2</v>
      </c>
      <c r="AG18" s="523">
        <v>9.2370037885731102E-3</v>
      </c>
      <c r="AH18" s="523">
        <v>1.2461068456791E-3</v>
      </c>
      <c r="AI18" s="523">
        <v>8.0790460646322601E-2</v>
      </c>
      <c r="AJ18" s="523">
        <v>16.277545579930099</v>
      </c>
      <c r="AK18" s="523">
        <v>0.92404511705560499</v>
      </c>
      <c r="AL18" s="523">
        <v>0</v>
      </c>
      <c r="AM18" s="523">
        <v>17.2015906969858</v>
      </c>
      <c r="AN18" s="523">
        <v>1.8765596515937501E-4</v>
      </c>
      <c r="AO18" s="523">
        <v>2.9071996400718099E-5</v>
      </c>
      <c r="AP18" s="523">
        <v>0</v>
      </c>
      <c r="AQ18" s="523">
        <v>2.16727961560093E-4</v>
      </c>
      <c r="AR18" s="523">
        <v>1.8878320442643601E-3</v>
      </c>
      <c r="AS18" s="523">
        <v>6.1819784435705505E-5</v>
      </c>
      <c r="AT18" s="523">
        <v>0</v>
      </c>
      <c r="AU18" s="523">
        <v>1.9496518287000599E-3</v>
      </c>
      <c r="AV18" s="523">
        <v>1.20287416938835E-4</v>
      </c>
      <c r="AW18" s="523">
        <v>1.3065218269839799E-3</v>
      </c>
      <c r="AX18" s="523">
        <v>3.3764610726228798E-3</v>
      </c>
      <c r="AY18" s="523">
        <v>1.80616526568954E-3</v>
      </c>
      <c r="AZ18" s="523">
        <v>5.9145487925911301E-5</v>
      </c>
      <c r="BA18" s="523">
        <v>0</v>
      </c>
      <c r="BB18" s="523">
        <v>1.86531075361545E-3</v>
      </c>
      <c r="BC18" s="523">
        <v>3.0071854234708801E-5</v>
      </c>
      <c r="BD18" s="523">
        <v>5.5993792585027897E-4</v>
      </c>
      <c r="BE18" s="523">
        <v>2.4553205337004402E-3</v>
      </c>
      <c r="BF18" s="523">
        <v>1.5378217949003599E-4</v>
      </c>
      <c r="BG18" s="523">
        <v>8.7299200822478095E-6</v>
      </c>
      <c r="BH18" s="523">
        <v>0</v>
      </c>
      <c r="BI18" s="523">
        <v>1.62512099572284E-4</v>
      </c>
      <c r="BJ18" s="523">
        <v>2.5586034869963799E-3</v>
      </c>
      <c r="BK18" s="523">
        <v>1.45247024315234E-4</v>
      </c>
      <c r="BL18" s="523">
        <v>0</v>
      </c>
      <c r="BM18" s="523">
        <v>2.7038505113116101E-3</v>
      </c>
      <c r="BN18" s="528">
        <v>1.53305789131514</v>
      </c>
    </row>
    <row r="19" spans="1:66">
      <c r="A19" s="522" t="s">
        <v>264</v>
      </c>
      <c r="B19" s="523">
        <v>2017</v>
      </c>
      <c r="C19" s="523" t="s">
        <v>172</v>
      </c>
      <c r="D19" s="523" t="s">
        <v>131</v>
      </c>
      <c r="E19" s="523" t="s">
        <v>131</v>
      </c>
      <c r="F19" s="523" t="s">
        <v>146</v>
      </c>
      <c r="G19" s="523">
        <v>0</v>
      </c>
      <c r="H19" s="526">
        <v>3743.9380992748702</v>
      </c>
      <c r="I19" s="523">
        <v>0</v>
      </c>
      <c r="J19" s="523">
        <v>2.9688779035249501E-3</v>
      </c>
      <c r="K19" s="523">
        <v>0</v>
      </c>
      <c r="L19" s="523">
        <v>0</v>
      </c>
      <c r="M19" s="523">
        <v>2.9688779035249501E-3</v>
      </c>
      <c r="N19" s="523">
        <v>0</v>
      </c>
      <c r="O19" s="523">
        <v>0</v>
      </c>
      <c r="P19" s="523">
        <v>0</v>
      </c>
      <c r="Q19" s="523">
        <v>0</v>
      </c>
      <c r="R19" s="523">
        <v>2.9688779035249501E-3</v>
      </c>
      <c r="S19" s="523">
        <v>3.37984149835117E-3</v>
      </c>
      <c r="T19" s="523">
        <v>0</v>
      </c>
      <c r="U19" s="523">
        <v>0</v>
      </c>
      <c r="V19" s="523">
        <v>3.37984149835117E-3</v>
      </c>
      <c r="W19" s="523">
        <v>0</v>
      </c>
      <c r="X19" s="523">
        <v>0</v>
      </c>
      <c r="Y19" s="523">
        <v>0</v>
      </c>
      <c r="Z19" s="523">
        <v>0</v>
      </c>
      <c r="AA19" s="523">
        <v>3.37984149835117E-3</v>
      </c>
      <c r="AB19" s="523">
        <v>1.06269225767956E-2</v>
      </c>
      <c r="AC19" s="523">
        <v>0</v>
      </c>
      <c r="AD19" s="523">
        <v>0</v>
      </c>
      <c r="AE19" s="523">
        <v>1.06269225767956E-2</v>
      </c>
      <c r="AF19" s="523">
        <v>3.8307801384293197E-2</v>
      </c>
      <c r="AG19" s="523">
        <v>0</v>
      </c>
      <c r="AH19" s="523">
        <v>0</v>
      </c>
      <c r="AI19" s="523">
        <v>3.8307801384293197E-2</v>
      </c>
      <c r="AJ19" s="523">
        <v>8.9307772550462801</v>
      </c>
      <c r="AK19" s="523">
        <v>0</v>
      </c>
      <c r="AL19" s="523">
        <v>0</v>
      </c>
      <c r="AM19" s="523">
        <v>8.9307772550462801</v>
      </c>
      <c r="AN19" s="523">
        <v>1.3789668916869901E-4</v>
      </c>
      <c r="AO19" s="523">
        <v>0</v>
      </c>
      <c r="AP19" s="523">
        <v>0</v>
      </c>
      <c r="AQ19" s="523">
        <v>1.3789668916869901E-4</v>
      </c>
      <c r="AR19" s="523">
        <v>1.07611809095264E-3</v>
      </c>
      <c r="AS19" s="523">
        <v>0</v>
      </c>
      <c r="AT19" s="523">
        <v>0</v>
      </c>
      <c r="AU19" s="523">
        <v>1.07611809095264E-3</v>
      </c>
      <c r="AV19" s="523">
        <v>0</v>
      </c>
      <c r="AW19" s="523">
        <v>0</v>
      </c>
      <c r="AX19" s="523">
        <v>1.07611809095264E-3</v>
      </c>
      <c r="AY19" s="523">
        <v>1.0295656986880901E-3</v>
      </c>
      <c r="AZ19" s="523">
        <v>0</v>
      </c>
      <c r="BA19" s="523">
        <v>0</v>
      </c>
      <c r="BB19" s="523">
        <v>1.0295656986880901E-3</v>
      </c>
      <c r="BC19" s="523">
        <v>0</v>
      </c>
      <c r="BD19" s="523">
        <v>0</v>
      </c>
      <c r="BE19" s="523">
        <v>1.0295656986880901E-3</v>
      </c>
      <c r="BF19" s="523">
        <v>8.4373555219186206E-5</v>
      </c>
      <c r="BG19" s="523">
        <v>0</v>
      </c>
      <c r="BH19" s="523">
        <v>0</v>
      </c>
      <c r="BI19" s="523">
        <v>8.4373555219186206E-5</v>
      </c>
      <c r="BJ19" s="523">
        <v>1.40379381609738E-3</v>
      </c>
      <c r="BK19" s="523">
        <v>0</v>
      </c>
      <c r="BL19" s="523">
        <v>0</v>
      </c>
      <c r="BM19" s="523">
        <v>1.40379381609738E-3</v>
      </c>
      <c r="BN19" s="528">
        <v>0.79593793316019201</v>
      </c>
    </row>
    <row r="20" spans="1:66">
      <c r="A20" s="522" t="s">
        <v>264</v>
      </c>
      <c r="B20" s="523">
        <v>2017</v>
      </c>
      <c r="C20" s="523" t="s">
        <v>135</v>
      </c>
      <c r="D20" s="523" t="s">
        <v>131</v>
      </c>
      <c r="E20" s="523" t="s">
        <v>131</v>
      </c>
      <c r="F20" s="523" t="s">
        <v>146</v>
      </c>
      <c r="G20" s="523">
        <v>188.81212989765601</v>
      </c>
      <c r="H20" s="526">
        <v>5971.6468171363804</v>
      </c>
      <c r="I20" s="523">
        <v>2178.8658012133901</v>
      </c>
      <c r="J20" s="523">
        <v>7.9858674458659898E-4</v>
      </c>
      <c r="K20" s="523">
        <v>6.6390819640700004E-5</v>
      </c>
      <c r="L20" s="523">
        <v>0</v>
      </c>
      <c r="M20" s="523">
        <v>8.6497756422729895E-4</v>
      </c>
      <c r="N20" s="523">
        <v>0</v>
      </c>
      <c r="O20" s="523">
        <v>0</v>
      </c>
      <c r="P20" s="523">
        <v>0</v>
      </c>
      <c r="Q20" s="523">
        <v>0</v>
      </c>
      <c r="R20" s="523">
        <v>8.6497756422729895E-4</v>
      </c>
      <c r="S20" s="523">
        <v>9.09130219259713E-4</v>
      </c>
      <c r="T20" s="523">
        <v>7.5580894406188494E-5</v>
      </c>
      <c r="U20" s="523">
        <v>0</v>
      </c>
      <c r="V20" s="523">
        <v>9.84711113665901E-4</v>
      </c>
      <c r="W20" s="523">
        <v>0</v>
      </c>
      <c r="X20" s="523">
        <v>0</v>
      </c>
      <c r="Y20" s="523">
        <v>0</v>
      </c>
      <c r="Z20" s="523">
        <v>0</v>
      </c>
      <c r="AA20" s="523">
        <v>9.84711113665901E-4</v>
      </c>
      <c r="AB20" s="523">
        <v>1.97274904705821E-3</v>
      </c>
      <c r="AC20" s="523">
        <v>9.7767461311446891E-4</v>
      </c>
      <c r="AD20" s="523">
        <v>0</v>
      </c>
      <c r="AE20" s="523">
        <v>2.9504236601726802E-3</v>
      </c>
      <c r="AF20" s="523">
        <v>6.0008992791171299E-2</v>
      </c>
      <c r="AG20" s="523">
        <v>1.02763960939101E-2</v>
      </c>
      <c r="AH20" s="523">
        <v>1.08815120662815E-3</v>
      </c>
      <c r="AI20" s="523">
        <v>7.13735400917095E-2</v>
      </c>
      <c r="AJ20" s="523">
        <v>7.8254262884636097</v>
      </c>
      <c r="AK20" s="523">
        <v>0.780890245018938</v>
      </c>
      <c r="AL20" s="523">
        <v>0</v>
      </c>
      <c r="AM20" s="523">
        <v>8.6063165334825502</v>
      </c>
      <c r="AN20" s="523">
        <v>3.7092285931244702E-5</v>
      </c>
      <c r="AO20" s="523">
        <v>3.0836816188294501E-6</v>
      </c>
      <c r="AP20" s="523">
        <v>0</v>
      </c>
      <c r="AQ20" s="523">
        <v>4.01759675500742E-5</v>
      </c>
      <c r="AR20" s="523">
        <v>3.37635662059915E-4</v>
      </c>
      <c r="AS20" s="523">
        <v>1.5527040895419699E-5</v>
      </c>
      <c r="AT20" s="523">
        <v>0</v>
      </c>
      <c r="AU20" s="523">
        <v>3.5316270295533502E-4</v>
      </c>
      <c r="AV20" s="523">
        <v>7.8991365976500695E-5</v>
      </c>
      <c r="AW20" s="523">
        <v>4.9027307816081403E-3</v>
      </c>
      <c r="AX20" s="523">
        <v>5.3348848505399699E-3</v>
      </c>
      <c r="AY20" s="523">
        <v>3.2302969277563299E-4</v>
      </c>
      <c r="AZ20" s="523">
        <v>1.4855347979420601E-5</v>
      </c>
      <c r="BA20" s="523">
        <v>0</v>
      </c>
      <c r="BB20" s="523">
        <v>3.3788504075505402E-4</v>
      </c>
      <c r="BC20" s="523">
        <v>1.9747841494125099E-5</v>
      </c>
      <c r="BD20" s="523">
        <v>2.1011703349749101E-3</v>
      </c>
      <c r="BE20" s="523">
        <v>2.4588032172240901E-3</v>
      </c>
      <c r="BF20" s="523">
        <v>7.39307473703121E-5</v>
      </c>
      <c r="BG20" s="523">
        <v>7.3774638339569402E-6</v>
      </c>
      <c r="BH20" s="523">
        <v>0</v>
      </c>
      <c r="BI20" s="523">
        <v>8.1308211204269095E-5</v>
      </c>
      <c r="BJ20" s="523">
        <v>1.23004803706911E-3</v>
      </c>
      <c r="BK20" s="523">
        <v>1.2274507198003901E-4</v>
      </c>
      <c r="BL20" s="523">
        <v>0</v>
      </c>
      <c r="BM20" s="523">
        <v>1.3527931090491501E-3</v>
      </c>
      <c r="BN20" s="528">
        <v>0.76702101039547199</v>
      </c>
    </row>
    <row r="21" spans="1:66">
      <c r="A21" s="522" t="s">
        <v>264</v>
      </c>
      <c r="B21" s="523">
        <v>2017</v>
      </c>
      <c r="C21" s="523" t="s">
        <v>171</v>
      </c>
      <c r="D21" s="523" t="s">
        <v>131</v>
      </c>
      <c r="E21" s="523" t="s">
        <v>131</v>
      </c>
      <c r="F21" s="523" t="s">
        <v>146</v>
      </c>
      <c r="G21" s="523">
        <v>4.0919711902999998</v>
      </c>
      <c r="H21" s="526">
        <v>54.020155211771403</v>
      </c>
      <c r="I21" s="523">
        <v>18.004673237319899</v>
      </c>
      <c r="J21" s="523">
        <v>4.7114533203107999E-5</v>
      </c>
      <c r="K21" s="523">
        <v>3.6111031936569E-6</v>
      </c>
      <c r="L21" s="523">
        <v>0</v>
      </c>
      <c r="M21" s="523">
        <v>5.0725636396764903E-5</v>
      </c>
      <c r="N21" s="523">
        <v>0</v>
      </c>
      <c r="O21" s="523">
        <v>0</v>
      </c>
      <c r="P21" s="523">
        <v>0</v>
      </c>
      <c r="Q21" s="523">
        <v>0</v>
      </c>
      <c r="R21" s="523">
        <v>5.0725636396764903E-5</v>
      </c>
      <c r="S21" s="523">
        <v>5.3636309632754901E-5</v>
      </c>
      <c r="T21" s="523">
        <v>4.11096610414968E-6</v>
      </c>
      <c r="U21" s="523">
        <v>0</v>
      </c>
      <c r="V21" s="523">
        <v>5.7747275736904597E-5</v>
      </c>
      <c r="W21" s="523">
        <v>0</v>
      </c>
      <c r="X21" s="523">
        <v>0</v>
      </c>
      <c r="Y21" s="523">
        <v>0</v>
      </c>
      <c r="Z21" s="523">
        <v>0</v>
      </c>
      <c r="AA21" s="523">
        <v>5.7747275736904597E-5</v>
      </c>
      <c r="AB21" s="523">
        <v>1.2608460414670301E-4</v>
      </c>
      <c r="AC21" s="523">
        <v>2.00320655412931E-5</v>
      </c>
      <c r="AD21" s="523">
        <v>0</v>
      </c>
      <c r="AE21" s="523">
        <v>1.4611666968799601E-4</v>
      </c>
      <c r="AF21" s="523">
        <v>5.9633796829863795E-4</v>
      </c>
      <c r="AG21" s="523">
        <v>5.0137848757101302E-5</v>
      </c>
      <c r="AH21" s="523">
        <v>4.5874480676141898E-6</v>
      </c>
      <c r="AI21" s="523">
        <v>6.5106326512335297E-4</v>
      </c>
      <c r="AJ21" s="523">
        <v>6.5208509684419297E-2</v>
      </c>
      <c r="AK21" s="523">
        <v>3.0295905894621301E-3</v>
      </c>
      <c r="AL21" s="523">
        <v>0</v>
      </c>
      <c r="AM21" s="523">
        <v>6.82381002738814E-2</v>
      </c>
      <c r="AN21" s="523">
        <v>2.1883480397504798E-6</v>
      </c>
      <c r="AO21" s="523">
        <v>1.67726390519656E-7</v>
      </c>
      <c r="AP21" s="523">
        <v>0</v>
      </c>
      <c r="AQ21" s="523">
        <v>2.35607443027014E-6</v>
      </c>
      <c r="AR21" s="523">
        <v>3.01581406503712E-5</v>
      </c>
      <c r="AS21" s="523">
        <v>1.15703375625247E-6</v>
      </c>
      <c r="AT21" s="523">
        <v>0</v>
      </c>
      <c r="AU21" s="523">
        <v>3.1315174406623699E-5</v>
      </c>
      <c r="AV21" s="523">
        <v>7.1456433729391897E-7</v>
      </c>
      <c r="AW21" s="523">
        <v>7.7613596435741199E-6</v>
      </c>
      <c r="AX21" s="523">
        <v>3.9791098387491797E-5</v>
      </c>
      <c r="AY21" s="523">
        <v>2.88535128355162E-5</v>
      </c>
      <c r="AZ21" s="523">
        <v>1.10698098812484E-6</v>
      </c>
      <c r="BA21" s="523">
        <v>0</v>
      </c>
      <c r="BB21" s="523">
        <v>2.9960493823641E-5</v>
      </c>
      <c r="BC21" s="523">
        <v>1.78641084323479E-7</v>
      </c>
      <c r="BD21" s="523">
        <v>3.3262969901031899E-6</v>
      </c>
      <c r="BE21" s="523">
        <v>3.3465431898067697E-5</v>
      </c>
      <c r="BF21" s="523">
        <v>6.1605766614662699E-7</v>
      </c>
      <c r="BG21" s="523">
        <v>2.8622069680113801E-8</v>
      </c>
      <c r="BH21" s="523">
        <v>0</v>
      </c>
      <c r="BI21" s="523">
        <v>6.4467973582673996E-7</v>
      </c>
      <c r="BJ21" s="523">
        <v>1.02498696404269E-5</v>
      </c>
      <c r="BK21" s="523">
        <v>4.7620945113043701E-7</v>
      </c>
      <c r="BL21" s="523">
        <v>0</v>
      </c>
      <c r="BM21" s="523">
        <v>1.07260790915573E-5</v>
      </c>
      <c r="BN21" s="528">
        <v>6.0815862879215598E-3</v>
      </c>
    </row>
    <row r="22" spans="1:66">
      <c r="A22" s="522" t="s">
        <v>264</v>
      </c>
      <c r="B22" s="523">
        <v>2017</v>
      </c>
      <c r="C22" s="523" t="s">
        <v>170</v>
      </c>
      <c r="D22" s="523" t="s">
        <v>131</v>
      </c>
      <c r="E22" s="523" t="s">
        <v>131</v>
      </c>
      <c r="F22" s="523" t="s">
        <v>146</v>
      </c>
      <c r="G22" s="523">
        <v>18.450503434344501</v>
      </c>
      <c r="H22" s="526">
        <v>3731.3396833680699</v>
      </c>
      <c r="I22" s="523">
        <v>269.37735014143101</v>
      </c>
      <c r="J22" s="523">
        <v>3.7616980180923802E-4</v>
      </c>
      <c r="K22" s="523">
        <v>2.00614272359349E-6</v>
      </c>
      <c r="L22" s="523">
        <v>0</v>
      </c>
      <c r="M22" s="523">
        <v>3.7817594453283201E-4</v>
      </c>
      <c r="N22" s="523">
        <v>0</v>
      </c>
      <c r="O22" s="523">
        <v>0</v>
      </c>
      <c r="P22" s="523">
        <v>0</v>
      </c>
      <c r="Q22" s="523">
        <v>0</v>
      </c>
      <c r="R22" s="523">
        <v>3.7817594453283201E-4</v>
      </c>
      <c r="S22" s="523">
        <v>4.2824068482973701E-4</v>
      </c>
      <c r="T22" s="523">
        <v>2.2838407806417699E-6</v>
      </c>
      <c r="U22" s="523">
        <v>0</v>
      </c>
      <c r="V22" s="523">
        <v>4.3052452561037901E-4</v>
      </c>
      <c r="W22" s="523">
        <v>0</v>
      </c>
      <c r="X22" s="523">
        <v>0</v>
      </c>
      <c r="Y22" s="523">
        <v>0</v>
      </c>
      <c r="Z22" s="523">
        <v>0</v>
      </c>
      <c r="AA22" s="523">
        <v>4.3052452561037901E-4</v>
      </c>
      <c r="AB22" s="523">
        <v>1.3070402602646E-3</v>
      </c>
      <c r="AC22" s="523">
        <v>4.05068658248742E-5</v>
      </c>
      <c r="AD22" s="523">
        <v>0</v>
      </c>
      <c r="AE22" s="523">
        <v>1.3475471260894799E-3</v>
      </c>
      <c r="AF22" s="523">
        <v>9.4297604380312108E-3</v>
      </c>
      <c r="AG22" s="523">
        <v>1.1768133946352301E-4</v>
      </c>
      <c r="AH22" s="523">
        <v>2.4866355373958401E-4</v>
      </c>
      <c r="AI22" s="523">
        <v>9.7961053312343206E-3</v>
      </c>
      <c r="AJ22" s="523">
        <v>4.0777116534620497</v>
      </c>
      <c r="AK22" s="523">
        <v>1.35953340270478E-2</v>
      </c>
      <c r="AL22" s="523">
        <v>0</v>
      </c>
      <c r="AM22" s="523">
        <v>4.0913069874890899</v>
      </c>
      <c r="AN22" s="523">
        <v>1.74721130071235E-5</v>
      </c>
      <c r="AO22" s="523">
        <v>9.3180133563244495E-8</v>
      </c>
      <c r="AP22" s="523">
        <v>0</v>
      </c>
      <c r="AQ22" s="523">
        <v>1.7565293140686701E-5</v>
      </c>
      <c r="AR22" s="523">
        <v>2.7146652372291198E-4</v>
      </c>
      <c r="AS22" s="523">
        <v>4.5190863170948198E-7</v>
      </c>
      <c r="AT22" s="523">
        <v>0</v>
      </c>
      <c r="AU22" s="523">
        <v>2.71918432354622E-4</v>
      </c>
      <c r="AV22" s="523">
        <v>4.9357175254531802E-5</v>
      </c>
      <c r="AW22" s="523">
        <v>5.3610118522297301E-4</v>
      </c>
      <c r="AX22" s="523">
        <v>8.5737679283212696E-4</v>
      </c>
      <c r="AY22" s="523">
        <v>2.5972300207292701E-4</v>
      </c>
      <c r="AZ22" s="523">
        <v>4.3235926434176701E-7</v>
      </c>
      <c r="BA22" s="523">
        <v>0</v>
      </c>
      <c r="BB22" s="523">
        <v>2.60155361337269E-4</v>
      </c>
      <c r="BC22" s="523">
        <v>1.23392938136329E-5</v>
      </c>
      <c r="BD22" s="523">
        <v>2.2975765080984501E-4</v>
      </c>
      <c r="BE22" s="523">
        <v>5.0225230596074796E-4</v>
      </c>
      <c r="BF22" s="523">
        <v>3.8524197786580698E-5</v>
      </c>
      <c r="BG22" s="523">
        <v>1.28441974701165E-7</v>
      </c>
      <c r="BH22" s="523">
        <v>0</v>
      </c>
      <c r="BI22" s="523">
        <v>3.8652639761281903E-5</v>
      </c>
      <c r="BJ22" s="523">
        <v>6.40959486446022E-4</v>
      </c>
      <c r="BK22" s="523">
        <v>2.13699718287837E-6</v>
      </c>
      <c r="BL22" s="523">
        <v>0</v>
      </c>
      <c r="BM22" s="523">
        <v>6.4309648362890104E-4</v>
      </c>
      <c r="BN22" s="528">
        <v>0.364629677188052</v>
      </c>
    </row>
    <row r="23" spans="1:66">
      <c r="A23" s="522" t="s">
        <v>264</v>
      </c>
      <c r="B23" s="523">
        <v>2017</v>
      </c>
      <c r="C23" s="523" t="s">
        <v>169</v>
      </c>
      <c r="D23" s="523" t="s">
        <v>131</v>
      </c>
      <c r="E23" s="523" t="s">
        <v>131</v>
      </c>
      <c r="F23" s="523" t="s">
        <v>146</v>
      </c>
      <c r="G23" s="523">
        <v>9.9729446763312204</v>
      </c>
      <c r="H23" s="526">
        <v>535.68203698307502</v>
      </c>
      <c r="I23" s="523">
        <v>145.60499227443501</v>
      </c>
      <c r="J23" s="523">
        <v>9.1732519322756899E-5</v>
      </c>
      <c r="K23" s="523">
        <v>1.2217757100096601E-6</v>
      </c>
      <c r="L23" s="523">
        <v>0</v>
      </c>
      <c r="M23" s="523">
        <v>9.2954295032766601E-5</v>
      </c>
      <c r="N23" s="523">
        <v>0</v>
      </c>
      <c r="O23" s="523">
        <v>0</v>
      </c>
      <c r="P23" s="523">
        <v>0</v>
      </c>
      <c r="Q23" s="523">
        <v>0</v>
      </c>
      <c r="R23" s="523">
        <v>9.2954295032766601E-5</v>
      </c>
      <c r="S23" s="523">
        <v>1.0443049045137199E-4</v>
      </c>
      <c r="T23" s="523">
        <v>1.39089864270446E-6</v>
      </c>
      <c r="U23" s="523">
        <v>0</v>
      </c>
      <c r="V23" s="523">
        <v>1.05821389094077E-4</v>
      </c>
      <c r="W23" s="523">
        <v>0</v>
      </c>
      <c r="X23" s="523">
        <v>0</v>
      </c>
      <c r="Y23" s="523">
        <v>0</v>
      </c>
      <c r="Z23" s="523">
        <v>0</v>
      </c>
      <c r="AA23" s="523">
        <v>1.05821389094077E-4</v>
      </c>
      <c r="AB23" s="523">
        <v>3.1907953086457501E-4</v>
      </c>
      <c r="AC23" s="523">
        <v>2.3056764546949399E-5</v>
      </c>
      <c r="AD23" s="523">
        <v>0</v>
      </c>
      <c r="AE23" s="523">
        <v>3.4213629541152499E-4</v>
      </c>
      <c r="AF23" s="523">
        <v>1.69973586154063E-3</v>
      </c>
      <c r="AG23" s="523">
        <v>7.2143191143241104E-5</v>
      </c>
      <c r="AH23" s="523">
        <v>1.2316216357789901E-4</v>
      </c>
      <c r="AI23" s="523">
        <v>1.8950412162617701E-3</v>
      </c>
      <c r="AJ23" s="523">
        <v>0.61194848830273196</v>
      </c>
      <c r="AK23" s="523">
        <v>7.4112077139340598E-3</v>
      </c>
      <c r="AL23" s="523">
        <v>0</v>
      </c>
      <c r="AM23" s="523">
        <v>0.61935969601666696</v>
      </c>
      <c r="AN23" s="523">
        <v>4.2607379335785497E-6</v>
      </c>
      <c r="AO23" s="523">
        <v>5.67483173077057E-8</v>
      </c>
      <c r="AP23" s="523">
        <v>0</v>
      </c>
      <c r="AQ23" s="523">
        <v>4.3174862508862604E-6</v>
      </c>
      <c r="AR23" s="523">
        <v>6.7887479139777695E-5</v>
      </c>
      <c r="AS23" s="523">
        <v>3.09698222183449E-7</v>
      </c>
      <c r="AT23" s="523">
        <v>0</v>
      </c>
      <c r="AU23" s="523">
        <v>6.8197177361961202E-5</v>
      </c>
      <c r="AV23" s="523">
        <v>7.0858604211055197E-6</v>
      </c>
      <c r="AW23" s="523">
        <v>7.6964253940574505E-5</v>
      </c>
      <c r="AX23" s="523">
        <v>1.5224729172364101E-4</v>
      </c>
      <c r="AY23" s="523">
        <v>6.4950696842986505E-5</v>
      </c>
      <c r="AZ23" s="523">
        <v>2.9630081418154898E-7</v>
      </c>
      <c r="BA23" s="523">
        <v>0</v>
      </c>
      <c r="BB23" s="523">
        <v>6.5246997657168106E-5</v>
      </c>
      <c r="BC23" s="523">
        <v>1.7714651052763799E-6</v>
      </c>
      <c r="BD23" s="523">
        <v>3.2984680260246199E-5</v>
      </c>
      <c r="BE23" s="523">
        <v>1.0000314302269E-4</v>
      </c>
      <c r="BF23" s="523">
        <v>5.7813858855267704E-6</v>
      </c>
      <c r="BG23" s="523">
        <v>7.0017415666609206E-8</v>
      </c>
      <c r="BH23" s="523">
        <v>0</v>
      </c>
      <c r="BI23" s="523">
        <v>5.8514033011933797E-6</v>
      </c>
      <c r="BJ23" s="523">
        <v>9.6189780476735104E-5</v>
      </c>
      <c r="BK23" s="523">
        <v>1.16493864548634E-6</v>
      </c>
      <c r="BL23" s="523">
        <v>0</v>
      </c>
      <c r="BM23" s="523">
        <v>9.7354719122221505E-5</v>
      </c>
      <c r="BN23" s="528">
        <v>5.5199213041807797E-2</v>
      </c>
    </row>
    <row r="24" spans="1:66">
      <c r="A24" s="522" t="s">
        <v>264</v>
      </c>
      <c r="B24" s="523">
        <v>2017</v>
      </c>
      <c r="C24" s="523" t="s">
        <v>168</v>
      </c>
      <c r="D24" s="523" t="s">
        <v>131</v>
      </c>
      <c r="E24" s="523" t="s">
        <v>131</v>
      </c>
      <c r="F24" s="523" t="s">
        <v>146</v>
      </c>
      <c r="G24" s="523">
        <v>23.403882095354</v>
      </c>
      <c r="H24" s="526">
        <v>1531.8061111561799</v>
      </c>
      <c r="I24" s="523">
        <v>105.808041012252</v>
      </c>
      <c r="J24" s="523">
        <v>1.43867965437385E-3</v>
      </c>
      <c r="K24" s="523">
        <v>7.5102578544997796E-6</v>
      </c>
      <c r="L24" s="523">
        <v>0</v>
      </c>
      <c r="M24" s="523">
        <v>1.44618991222835E-3</v>
      </c>
      <c r="N24" s="523">
        <v>0</v>
      </c>
      <c r="O24" s="523">
        <v>0</v>
      </c>
      <c r="P24" s="523">
        <v>0</v>
      </c>
      <c r="Q24" s="523">
        <v>0</v>
      </c>
      <c r="R24" s="523">
        <v>1.44618991222835E-3</v>
      </c>
      <c r="S24" s="523">
        <v>1.63782727235533E-3</v>
      </c>
      <c r="T24" s="523">
        <v>8.5498568768417093E-6</v>
      </c>
      <c r="U24" s="523">
        <v>0</v>
      </c>
      <c r="V24" s="523">
        <v>1.64637712923217E-3</v>
      </c>
      <c r="W24" s="523">
        <v>0</v>
      </c>
      <c r="X24" s="523">
        <v>0</v>
      </c>
      <c r="Y24" s="523">
        <v>0</v>
      </c>
      <c r="Z24" s="523">
        <v>0</v>
      </c>
      <c r="AA24" s="523">
        <v>1.64637712923217E-3</v>
      </c>
      <c r="AB24" s="523">
        <v>2.6102318122421201E-3</v>
      </c>
      <c r="AC24" s="523">
        <v>6.8233851558615095E-5</v>
      </c>
      <c r="AD24" s="523">
        <v>0</v>
      </c>
      <c r="AE24" s="523">
        <v>2.6784656638007302E-3</v>
      </c>
      <c r="AF24" s="523">
        <v>1.20135319218655E-2</v>
      </c>
      <c r="AG24" s="523">
        <v>2.08416739898836E-4</v>
      </c>
      <c r="AH24" s="523">
        <v>1.06382937621027E-4</v>
      </c>
      <c r="AI24" s="523">
        <v>1.23283315993854E-2</v>
      </c>
      <c r="AJ24" s="523">
        <v>2.2051657245412</v>
      </c>
      <c r="AK24" s="523">
        <v>1.74152581123765E-2</v>
      </c>
      <c r="AL24" s="523">
        <v>0</v>
      </c>
      <c r="AM24" s="523">
        <v>2.2225809826535801</v>
      </c>
      <c r="AN24" s="523">
        <v>6.6822943738095895E-5</v>
      </c>
      <c r="AO24" s="523">
        <v>3.4883202563134201E-7</v>
      </c>
      <c r="AP24" s="523">
        <v>0</v>
      </c>
      <c r="AQ24" s="523">
        <v>6.7171775763727194E-5</v>
      </c>
      <c r="AR24" s="523">
        <v>4.7299866794748901E-4</v>
      </c>
      <c r="AS24" s="523">
        <v>2.3246590356242901E-6</v>
      </c>
      <c r="AT24" s="523">
        <v>0</v>
      </c>
      <c r="AU24" s="523">
        <v>4.7532332698311299E-4</v>
      </c>
      <c r="AV24" s="523">
        <v>2.0262326429646799E-5</v>
      </c>
      <c r="AW24" s="523">
        <v>2.2008263557001301E-4</v>
      </c>
      <c r="AX24" s="523">
        <v>7.1566828898277405E-4</v>
      </c>
      <c r="AY24" s="523">
        <v>4.5253695494774899E-4</v>
      </c>
      <c r="AZ24" s="523">
        <v>2.2240953147672998E-6</v>
      </c>
      <c r="BA24" s="523">
        <v>0</v>
      </c>
      <c r="BB24" s="523">
        <v>4.5476105026251602E-4</v>
      </c>
      <c r="BC24" s="523">
        <v>5.0655816074116996E-6</v>
      </c>
      <c r="BD24" s="523">
        <v>9.4321129530005896E-5</v>
      </c>
      <c r="BE24" s="523">
        <v>5.5414776139993405E-4</v>
      </c>
      <c r="BF24" s="523">
        <v>2.0833312343772E-5</v>
      </c>
      <c r="BG24" s="523">
        <v>1.6453072336685E-7</v>
      </c>
      <c r="BH24" s="523">
        <v>0</v>
      </c>
      <c r="BI24" s="523">
        <v>2.0997843067138801E-5</v>
      </c>
      <c r="BJ24" s="523">
        <v>3.4662134315708199E-4</v>
      </c>
      <c r="BK24" s="523">
        <v>2.73743605351709E-6</v>
      </c>
      <c r="BL24" s="523">
        <v>0</v>
      </c>
      <c r="BM24" s="523">
        <v>3.4935877921059901E-4</v>
      </c>
      <c r="BN24" s="528">
        <v>0.198083152573854</v>
      </c>
    </row>
    <row r="25" spans="1:66">
      <c r="A25" s="522" t="s">
        <v>264</v>
      </c>
      <c r="B25" s="523">
        <v>2017</v>
      </c>
      <c r="C25" s="523" t="s">
        <v>167</v>
      </c>
      <c r="D25" s="523" t="s">
        <v>131</v>
      </c>
      <c r="E25" s="523" t="s">
        <v>131</v>
      </c>
      <c r="F25" s="523" t="s">
        <v>146</v>
      </c>
      <c r="G25" s="523">
        <v>511.53733242952597</v>
      </c>
      <c r="H25" s="526">
        <v>24986.911706291299</v>
      </c>
      <c r="I25" s="523">
        <v>2312.64039138813</v>
      </c>
      <c r="J25" s="523">
        <v>2.06628874288988E-2</v>
      </c>
      <c r="K25" s="523">
        <v>9.0238467933251702E-5</v>
      </c>
      <c r="L25" s="523">
        <v>0</v>
      </c>
      <c r="M25" s="523">
        <v>2.0753125896832099E-2</v>
      </c>
      <c r="N25" s="523">
        <v>0</v>
      </c>
      <c r="O25" s="523">
        <v>0</v>
      </c>
      <c r="P25" s="523">
        <v>0</v>
      </c>
      <c r="Q25" s="523">
        <v>0</v>
      </c>
      <c r="R25" s="523">
        <v>2.0753125896832099E-2</v>
      </c>
      <c r="S25" s="523">
        <v>2.35231244521821E-2</v>
      </c>
      <c r="T25" s="523">
        <v>1.02729626673538E-4</v>
      </c>
      <c r="U25" s="523">
        <v>0</v>
      </c>
      <c r="V25" s="523">
        <v>2.3625854078855701E-2</v>
      </c>
      <c r="W25" s="523">
        <v>0</v>
      </c>
      <c r="X25" s="523">
        <v>0</v>
      </c>
      <c r="Y25" s="523">
        <v>0</v>
      </c>
      <c r="Z25" s="523">
        <v>0</v>
      </c>
      <c r="AA25" s="523">
        <v>2.3625854078855701E-2</v>
      </c>
      <c r="AB25" s="523">
        <v>4.1926806173858501E-2</v>
      </c>
      <c r="AC25" s="523">
        <v>1.28544692157796E-3</v>
      </c>
      <c r="AD25" s="523">
        <v>0</v>
      </c>
      <c r="AE25" s="523">
        <v>4.3212253095436498E-2</v>
      </c>
      <c r="AF25" s="523">
        <v>0.16503104602576099</v>
      </c>
      <c r="AG25" s="523">
        <v>4.7803797020628501E-3</v>
      </c>
      <c r="AH25" s="523">
        <v>2.6661206722091899E-3</v>
      </c>
      <c r="AI25" s="523">
        <v>0.17247754640003299</v>
      </c>
      <c r="AJ25" s="523">
        <v>35.837438398832703</v>
      </c>
      <c r="AK25" s="523">
        <v>0.38982458351671601</v>
      </c>
      <c r="AL25" s="523">
        <v>0</v>
      </c>
      <c r="AM25" s="523">
        <v>36.227262982349401</v>
      </c>
      <c r="AN25" s="523">
        <v>9.5973760380232303E-4</v>
      </c>
      <c r="AO25" s="523">
        <v>4.19134311615745E-6</v>
      </c>
      <c r="AP25" s="523">
        <v>0</v>
      </c>
      <c r="AQ25" s="523">
        <v>9.6392894691848001E-4</v>
      </c>
      <c r="AR25" s="523">
        <v>6.3706018303592701E-3</v>
      </c>
      <c r="AS25" s="523">
        <v>2.7983577353798301E-5</v>
      </c>
      <c r="AT25" s="523">
        <v>0</v>
      </c>
      <c r="AU25" s="523">
        <v>6.3985854077130699E-3</v>
      </c>
      <c r="AV25" s="523">
        <v>3.3052026478696698E-4</v>
      </c>
      <c r="AW25" s="523">
        <v>3.5900009426944402E-3</v>
      </c>
      <c r="AX25" s="523">
        <v>1.03191066151944E-2</v>
      </c>
      <c r="AY25" s="523">
        <v>6.0950124151626399E-3</v>
      </c>
      <c r="AZ25" s="523">
        <v>2.6773020184569601E-5</v>
      </c>
      <c r="BA25" s="523">
        <v>0</v>
      </c>
      <c r="BB25" s="523">
        <v>6.1217854353472099E-3</v>
      </c>
      <c r="BC25" s="523">
        <v>8.2630066196741895E-5</v>
      </c>
      <c r="BD25" s="523">
        <v>1.53857183258333E-3</v>
      </c>
      <c r="BE25" s="523">
        <v>7.7429873341272899E-3</v>
      </c>
      <c r="BF25" s="523">
        <v>3.38574348156489E-4</v>
      </c>
      <c r="BG25" s="523">
        <v>3.6828693722664598E-6</v>
      </c>
      <c r="BH25" s="523">
        <v>0</v>
      </c>
      <c r="BI25" s="523">
        <v>3.4225721752875499E-4</v>
      </c>
      <c r="BJ25" s="523">
        <v>5.6331462505826097E-3</v>
      </c>
      <c r="BK25" s="523">
        <v>6.1274995901873497E-5</v>
      </c>
      <c r="BL25" s="523">
        <v>0</v>
      </c>
      <c r="BM25" s="523">
        <v>5.6944212464844803E-3</v>
      </c>
      <c r="BN25" s="528">
        <v>3.2286834615575102</v>
      </c>
    </row>
    <row r="26" spans="1:66">
      <c r="A26" s="522" t="s">
        <v>264</v>
      </c>
      <c r="B26" s="523">
        <v>2017</v>
      </c>
      <c r="C26" s="523" t="s">
        <v>166</v>
      </c>
      <c r="D26" s="523" t="s">
        <v>131</v>
      </c>
      <c r="E26" s="523" t="s">
        <v>131</v>
      </c>
      <c r="F26" s="523" t="s">
        <v>146</v>
      </c>
      <c r="G26" s="523">
        <v>528.48796103718701</v>
      </c>
      <c r="H26" s="526">
        <v>74059.469171407705</v>
      </c>
      <c r="I26" s="523">
        <v>6098.6777983018501</v>
      </c>
      <c r="J26" s="523">
        <v>2.8881426501315002E-2</v>
      </c>
      <c r="K26" s="523">
        <v>1.3256055726648699E-4</v>
      </c>
      <c r="L26" s="523">
        <v>0</v>
      </c>
      <c r="M26" s="523">
        <v>2.9013987058581499E-2</v>
      </c>
      <c r="N26" s="523">
        <v>0</v>
      </c>
      <c r="O26" s="523">
        <v>0</v>
      </c>
      <c r="P26" s="523">
        <v>0</v>
      </c>
      <c r="Q26" s="523">
        <v>0</v>
      </c>
      <c r="R26" s="523">
        <v>2.9013987058581499E-2</v>
      </c>
      <c r="S26" s="523">
        <v>3.2879305580342598E-2</v>
      </c>
      <c r="T26" s="523">
        <v>1.50910103767447E-4</v>
      </c>
      <c r="U26" s="523">
        <v>0</v>
      </c>
      <c r="V26" s="523">
        <v>3.3030215684109999E-2</v>
      </c>
      <c r="W26" s="523">
        <v>0</v>
      </c>
      <c r="X26" s="523">
        <v>0</v>
      </c>
      <c r="Y26" s="523">
        <v>0</v>
      </c>
      <c r="Z26" s="523">
        <v>0</v>
      </c>
      <c r="AA26" s="523">
        <v>3.3030215684109999E-2</v>
      </c>
      <c r="AB26" s="523">
        <v>7.3538673429071402E-2</v>
      </c>
      <c r="AC26" s="523">
        <v>1.3866584026797301E-3</v>
      </c>
      <c r="AD26" s="523">
        <v>0</v>
      </c>
      <c r="AE26" s="523">
        <v>7.4925331831751193E-2</v>
      </c>
      <c r="AF26" s="523">
        <v>0.37079560797439798</v>
      </c>
      <c r="AG26" s="523">
        <v>4.1877979343779501E-3</v>
      </c>
      <c r="AH26" s="523">
        <v>6.5280459900727301E-3</v>
      </c>
      <c r="AI26" s="523">
        <v>0.381511451898849</v>
      </c>
      <c r="AJ26" s="523">
        <v>89.978134236368803</v>
      </c>
      <c r="AK26" s="523">
        <v>0.39062546066144699</v>
      </c>
      <c r="AL26" s="523">
        <v>0</v>
      </c>
      <c r="AM26" s="523">
        <v>90.3687596970302</v>
      </c>
      <c r="AN26" s="523">
        <v>1.3414674575441001E-3</v>
      </c>
      <c r="AO26" s="523">
        <v>6.1570945506728099E-6</v>
      </c>
      <c r="AP26" s="523">
        <v>0</v>
      </c>
      <c r="AQ26" s="523">
        <v>1.34762455209477E-3</v>
      </c>
      <c r="AR26" s="523">
        <v>1.3551017495273999E-2</v>
      </c>
      <c r="AS26" s="523">
        <v>3.8952778371987899E-5</v>
      </c>
      <c r="AT26" s="523">
        <v>0</v>
      </c>
      <c r="AU26" s="523">
        <v>1.3589970273646E-2</v>
      </c>
      <c r="AV26" s="523">
        <v>9.7963908658438509E-4</v>
      </c>
      <c r="AW26" s="523">
        <v>1.06405132121173E-2</v>
      </c>
      <c r="AX26" s="523">
        <v>2.5210122572347799E-2</v>
      </c>
      <c r="AY26" s="523">
        <v>1.29648064768668E-2</v>
      </c>
      <c r="AZ26" s="523">
        <v>3.7267698422294202E-5</v>
      </c>
      <c r="BA26" s="523">
        <v>0</v>
      </c>
      <c r="BB26" s="523">
        <v>1.30020741752891E-2</v>
      </c>
      <c r="BC26" s="523">
        <v>2.44909771646096E-4</v>
      </c>
      <c r="BD26" s="523">
        <v>4.56021994805031E-3</v>
      </c>
      <c r="BE26" s="523">
        <v>1.78072038949855E-2</v>
      </c>
      <c r="BF26" s="523">
        <v>8.5006879700441802E-4</v>
      </c>
      <c r="BG26" s="523">
        <v>3.6904356624184798E-6</v>
      </c>
      <c r="BH26" s="523">
        <v>0</v>
      </c>
      <c r="BI26" s="523">
        <v>8.5375923266683702E-4</v>
      </c>
      <c r="BJ26" s="523">
        <v>1.41433096826621E-2</v>
      </c>
      <c r="BK26" s="523">
        <v>6.1400882636154298E-5</v>
      </c>
      <c r="BL26" s="523">
        <v>0</v>
      </c>
      <c r="BM26" s="523">
        <v>1.42047105652983E-2</v>
      </c>
      <c r="BN26" s="528">
        <v>8.0539377213625993</v>
      </c>
    </row>
    <row r="27" spans="1:66">
      <c r="A27" s="522" t="s">
        <v>264</v>
      </c>
      <c r="B27" s="523">
        <v>2017</v>
      </c>
      <c r="C27" s="523" t="s">
        <v>165</v>
      </c>
      <c r="D27" s="523" t="s">
        <v>131</v>
      </c>
      <c r="E27" s="523" t="s">
        <v>131</v>
      </c>
      <c r="F27" s="523" t="s">
        <v>146</v>
      </c>
      <c r="G27" s="523">
        <v>2760.2667597172799</v>
      </c>
      <c r="H27" s="526">
        <v>131778.42714813401</v>
      </c>
      <c r="I27" s="523">
        <v>31853.095710715501</v>
      </c>
      <c r="J27" s="523">
        <v>6.2278809853818701E-2</v>
      </c>
      <c r="K27" s="523">
        <v>5.0161299886011205E-4</v>
      </c>
      <c r="L27" s="523">
        <v>0</v>
      </c>
      <c r="M27" s="523">
        <v>6.2780422852678805E-2</v>
      </c>
      <c r="N27" s="523">
        <v>0</v>
      </c>
      <c r="O27" s="523">
        <v>0</v>
      </c>
      <c r="P27" s="523">
        <v>0</v>
      </c>
      <c r="Q27" s="523">
        <v>0</v>
      </c>
      <c r="R27" s="523">
        <v>6.2780422852678805E-2</v>
      </c>
      <c r="S27" s="523">
        <v>7.0899684275308295E-2</v>
      </c>
      <c r="T27" s="523">
        <v>5.7104821577433904E-4</v>
      </c>
      <c r="U27" s="523">
        <v>0</v>
      </c>
      <c r="V27" s="523">
        <v>7.14707324910826E-2</v>
      </c>
      <c r="W27" s="523">
        <v>0</v>
      </c>
      <c r="X27" s="523">
        <v>0</v>
      </c>
      <c r="Y27" s="523">
        <v>0</v>
      </c>
      <c r="Z27" s="523">
        <v>0</v>
      </c>
      <c r="AA27" s="523">
        <v>7.14707324910826E-2</v>
      </c>
      <c r="AB27" s="523">
        <v>0.16564669408725</v>
      </c>
      <c r="AC27" s="523">
        <v>7.0144534972959496E-3</v>
      </c>
      <c r="AD27" s="523">
        <v>0</v>
      </c>
      <c r="AE27" s="523">
        <v>0.17266114758454501</v>
      </c>
      <c r="AF27" s="523">
        <v>0.748921932094468</v>
      </c>
      <c r="AG27" s="523">
        <v>2.5947599878955799E-2</v>
      </c>
      <c r="AH27" s="523">
        <v>2.8667993314791199E-2</v>
      </c>
      <c r="AI27" s="523">
        <v>0.80353752528821498</v>
      </c>
      <c r="AJ27" s="523">
        <v>165.998302080965</v>
      </c>
      <c r="AK27" s="523">
        <v>2.0983682347166601</v>
      </c>
      <c r="AL27" s="523">
        <v>0</v>
      </c>
      <c r="AM27" s="523">
        <v>168.09667031568199</v>
      </c>
      <c r="AN27" s="523">
        <v>2.8926894144120901E-3</v>
      </c>
      <c r="AO27" s="523">
        <v>2.3298624609878901E-5</v>
      </c>
      <c r="AP27" s="523">
        <v>0</v>
      </c>
      <c r="AQ27" s="523">
        <v>2.9159880390219601E-3</v>
      </c>
      <c r="AR27" s="523">
        <v>2.7235328547617399E-2</v>
      </c>
      <c r="AS27" s="523">
        <v>1.56734296180687E-4</v>
      </c>
      <c r="AT27" s="523">
        <v>0</v>
      </c>
      <c r="AU27" s="523">
        <v>2.7392062843798099E-2</v>
      </c>
      <c r="AV27" s="523">
        <v>1.7431302093745701E-3</v>
      </c>
      <c r="AW27" s="523">
        <v>1.8933299290823401E-2</v>
      </c>
      <c r="AX27" s="523">
        <v>4.8068492343996197E-2</v>
      </c>
      <c r="AY27" s="523">
        <v>2.60571402905273E-2</v>
      </c>
      <c r="AZ27" s="523">
        <v>1.4995403990727699E-4</v>
      </c>
      <c r="BA27" s="523">
        <v>0</v>
      </c>
      <c r="BB27" s="523">
        <v>2.62070943304346E-2</v>
      </c>
      <c r="BC27" s="523">
        <v>4.35782552343643E-4</v>
      </c>
      <c r="BD27" s="523">
        <v>8.1142711246386303E-3</v>
      </c>
      <c r="BE27" s="523">
        <v>3.4757148007416902E-2</v>
      </c>
      <c r="BF27" s="523">
        <v>1.56826964853541E-3</v>
      </c>
      <c r="BG27" s="523">
        <v>1.9824342614973801E-5</v>
      </c>
      <c r="BH27" s="523">
        <v>0</v>
      </c>
      <c r="BI27" s="523">
        <v>1.5880939911503899E-3</v>
      </c>
      <c r="BJ27" s="523">
        <v>2.6092621424664401E-2</v>
      </c>
      <c r="BK27" s="523">
        <v>3.2983426499927598E-4</v>
      </c>
      <c r="BL27" s="523">
        <v>0</v>
      </c>
      <c r="BM27" s="523">
        <v>2.6422455689663601E-2</v>
      </c>
      <c r="BN27" s="528">
        <v>14.981284665517199</v>
      </c>
    </row>
    <row r="28" spans="1:66">
      <c r="A28" s="522" t="s">
        <v>264</v>
      </c>
      <c r="B28" s="523">
        <v>2017</v>
      </c>
      <c r="C28" s="523" t="s">
        <v>164</v>
      </c>
      <c r="D28" s="523" t="s">
        <v>131</v>
      </c>
      <c r="E28" s="523" t="s">
        <v>131</v>
      </c>
      <c r="F28" s="523" t="s">
        <v>146</v>
      </c>
      <c r="G28" s="523">
        <v>10.6669865753052</v>
      </c>
      <c r="H28" s="526">
        <v>2172.3737486468599</v>
      </c>
      <c r="I28" s="523">
        <v>155.738003999456</v>
      </c>
      <c r="J28" s="523">
        <v>2.0314873975006901E-4</v>
      </c>
      <c r="K28" s="523">
        <v>1.0607840734243599E-6</v>
      </c>
      <c r="L28" s="523">
        <v>0</v>
      </c>
      <c r="M28" s="523">
        <v>2.04209523823493E-4</v>
      </c>
      <c r="N28" s="523">
        <v>0</v>
      </c>
      <c r="O28" s="523">
        <v>0</v>
      </c>
      <c r="P28" s="523">
        <v>0</v>
      </c>
      <c r="Q28" s="523">
        <v>0</v>
      </c>
      <c r="R28" s="523">
        <v>2.04209523823493E-4</v>
      </c>
      <c r="S28" s="523">
        <v>2.3126937626158801E-4</v>
      </c>
      <c r="T28" s="523">
        <v>1.20762191934294E-6</v>
      </c>
      <c r="U28" s="523">
        <v>0</v>
      </c>
      <c r="V28" s="523">
        <v>2.3247699818092999E-4</v>
      </c>
      <c r="W28" s="523">
        <v>0</v>
      </c>
      <c r="X28" s="523">
        <v>0</v>
      </c>
      <c r="Y28" s="523">
        <v>0</v>
      </c>
      <c r="Z28" s="523">
        <v>0</v>
      </c>
      <c r="AA28" s="523">
        <v>2.3247699818092999E-4</v>
      </c>
      <c r="AB28" s="523">
        <v>7.3755444178860599E-4</v>
      </c>
      <c r="AC28" s="523">
        <v>2.3318158326653901E-5</v>
      </c>
      <c r="AD28" s="523">
        <v>0</v>
      </c>
      <c r="AE28" s="523">
        <v>7.6087260011526001E-4</v>
      </c>
      <c r="AF28" s="523">
        <v>5.2300400166713102E-3</v>
      </c>
      <c r="AG28" s="523">
        <v>6.6501778643466401E-5</v>
      </c>
      <c r="AH28" s="523">
        <v>1.4796457587116301E-4</v>
      </c>
      <c r="AI28" s="523">
        <v>5.4445063711859396E-3</v>
      </c>
      <c r="AJ28" s="523">
        <v>2.3719293235008299</v>
      </c>
      <c r="AK28" s="523">
        <v>7.8565031673064507E-3</v>
      </c>
      <c r="AL28" s="523">
        <v>0</v>
      </c>
      <c r="AM28" s="523">
        <v>2.3797858266681402</v>
      </c>
      <c r="AN28" s="523">
        <v>9.4357328023048195E-6</v>
      </c>
      <c r="AO28" s="523">
        <v>4.9270672759708198E-8</v>
      </c>
      <c r="AP28" s="523">
        <v>0</v>
      </c>
      <c r="AQ28" s="523">
        <v>9.4850034750645302E-6</v>
      </c>
      <c r="AR28" s="523">
        <v>1.5138734920045201E-4</v>
      </c>
      <c r="AS28" s="523">
        <v>2.25926729080915E-7</v>
      </c>
      <c r="AT28" s="523">
        <v>0</v>
      </c>
      <c r="AU28" s="523">
        <v>1.5161327592953301E-4</v>
      </c>
      <c r="AV28" s="523">
        <v>2.8735585856263701E-5</v>
      </c>
      <c r="AW28" s="523">
        <v>3.1211635504211802E-4</v>
      </c>
      <c r="AX28" s="523">
        <v>4.9246521682791498E-4</v>
      </c>
      <c r="AY28" s="523">
        <v>1.4483839948654901E-4</v>
      </c>
      <c r="AZ28" s="523">
        <v>2.1615323878868199E-7</v>
      </c>
      <c r="BA28" s="523">
        <v>0</v>
      </c>
      <c r="BB28" s="523">
        <v>1.45054552725338E-4</v>
      </c>
      <c r="BC28" s="523">
        <v>7.1838964640659396E-6</v>
      </c>
      <c r="BD28" s="523">
        <v>1.33764152160907E-4</v>
      </c>
      <c r="BE28" s="523">
        <v>2.8600260135031198E-4</v>
      </c>
      <c r="BF28" s="523">
        <v>2.2408812137747999E-5</v>
      </c>
      <c r="BG28" s="523">
        <v>7.4224346312286001E-8</v>
      </c>
      <c r="BH28" s="523">
        <v>0</v>
      </c>
      <c r="BI28" s="523">
        <v>2.24830364840602E-5</v>
      </c>
      <c r="BJ28" s="523">
        <v>3.7283425859368602E-4</v>
      </c>
      <c r="BK28" s="523">
        <v>1.23493288965218E-6</v>
      </c>
      <c r="BL28" s="523">
        <v>0</v>
      </c>
      <c r="BM28" s="523">
        <v>3.7406919148333801E-4</v>
      </c>
      <c r="BN28" s="528">
        <v>0.21209372467238199</v>
      </c>
    </row>
    <row r="29" spans="1:66">
      <c r="A29" s="522" t="s">
        <v>264</v>
      </c>
      <c r="B29" s="523">
        <v>2017</v>
      </c>
      <c r="C29" s="523" t="s">
        <v>163</v>
      </c>
      <c r="D29" s="523" t="s">
        <v>131</v>
      </c>
      <c r="E29" s="523" t="s">
        <v>131</v>
      </c>
      <c r="F29" s="523" t="s">
        <v>146</v>
      </c>
      <c r="G29" s="523">
        <v>5.6109930353745296</v>
      </c>
      <c r="H29" s="526">
        <v>300.17916193755201</v>
      </c>
      <c r="I29" s="523">
        <v>81.920498316468297</v>
      </c>
      <c r="J29" s="523">
        <v>5.2947612073271203E-5</v>
      </c>
      <c r="K29" s="523">
        <v>6.9976237007118299E-7</v>
      </c>
      <c r="L29" s="523">
        <v>0</v>
      </c>
      <c r="M29" s="523">
        <v>5.3647374443342397E-5</v>
      </c>
      <c r="N29" s="523">
        <v>0</v>
      </c>
      <c r="O29" s="523">
        <v>0</v>
      </c>
      <c r="P29" s="523">
        <v>0</v>
      </c>
      <c r="Q29" s="523">
        <v>0</v>
      </c>
      <c r="R29" s="523">
        <v>5.3647374443342397E-5</v>
      </c>
      <c r="S29" s="523">
        <v>6.02768259049551E-5</v>
      </c>
      <c r="T29" s="523">
        <v>7.9662619151265299E-7</v>
      </c>
      <c r="U29" s="523">
        <v>0</v>
      </c>
      <c r="V29" s="523">
        <v>6.1073452096467701E-5</v>
      </c>
      <c r="W29" s="523">
        <v>0</v>
      </c>
      <c r="X29" s="523">
        <v>0</v>
      </c>
      <c r="Y29" s="523">
        <v>0</v>
      </c>
      <c r="Z29" s="523">
        <v>0</v>
      </c>
      <c r="AA29" s="523">
        <v>6.1073452096467701E-5</v>
      </c>
      <c r="AB29" s="523">
        <v>1.8398022149049699E-4</v>
      </c>
      <c r="AC29" s="523">
        <v>1.2983864369895799E-5</v>
      </c>
      <c r="AD29" s="523">
        <v>0</v>
      </c>
      <c r="AE29" s="523">
        <v>1.9696408586039301E-4</v>
      </c>
      <c r="AF29" s="523">
        <v>9.7527189107782296E-4</v>
      </c>
      <c r="AG29" s="523">
        <v>4.1219541791215197E-5</v>
      </c>
      <c r="AH29" s="523">
        <v>6.7882015786430294E-5</v>
      </c>
      <c r="AI29" s="523">
        <v>1.08437344865546E-3</v>
      </c>
      <c r="AJ29" s="523">
        <v>0.344003028819857</v>
      </c>
      <c r="AK29" s="523">
        <v>4.1831627745989898E-3</v>
      </c>
      <c r="AL29" s="523">
        <v>0</v>
      </c>
      <c r="AM29" s="523">
        <v>0.34818619159445602</v>
      </c>
      <c r="AN29" s="523">
        <v>2.4592794454847499E-6</v>
      </c>
      <c r="AO29" s="523">
        <v>3.2502149692006502E-8</v>
      </c>
      <c r="AP29" s="523">
        <v>0</v>
      </c>
      <c r="AQ29" s="523">
        <v>2.4917815951767502E-6</v>
      </c>
      <c r="AR29" s="523">
        <v>3.9190263210129998E-5</v>
      </c>
      <c r="AS29" s="523">
        <v>1.7959510597869699E-7</v>
      </c>
      <c r="AT29" s="523">
        <v>0</v>
      </c>
      <c r="AU29" s="523">
        <v>3.9369858316108599E-5</v>
      </c>
      <c r="AV29" s="523">
        <v>3.9706906260907999E-6</v>
      </c>
      <c r="AW29" s="523">
        <v>4.3128318017056297E-5</v>
      </c>
      <c r="AX29" s="523">
        <v>8.6468866959255795E-5</v>
      </c>
      <c r="AY29" s="523">
        <v>3.7494909771462298E-5</v>
      </c>
      <c r="AZ29" s="523">
        <v>1.7182590119289799E-7</v>
      </c>
      <c r="BA29" s="523">
        <v>0</v>
      </c>
      <c r="BB29" s="523">
        <v>3.7666735672655202E-5</v>
      </c>
      <c r="BC29" s="523">
        <v>9.9267265652270102E-7</v>
      </c>
      <c r="BD29" s="523">
        <v>1.84835648644527E-5</v>
      </c>
      <c r="BE29" s="523">
        <v>5.7142973193630598E-5</v>
      </c>
      <c r="BF29" s="523">
        <v>3.24997004390623E-6</v>
      </c>
      <c r="BG29" s="523">
        <v>3.9520447691609501E-8</v>
      </c>
      <c r="BH29" s="523">
        <v>0</v>
      </c>
      <c r="BI29" s="523">
        <v>3.28949049159784E-6</v>
      </c>
      <c r="BJ29" s="523">
        <v>5.4072485606247E-5</v>
      </c>
      <c r="BK29" s="523">
        <v>6.5753493419542505E-7</v>
      </c>
      <c r="BL29" s="523">
        <v>0</v>
      </c>
      <c r="BM29" s="523">
        <v>5.47300205404424E-5</v>
      </c>
      <c r="BN29" s="528">
        <v>3.1031408552488201E-2</v>
      </c>
    </row>
    <row r="30" spans="1:66">
      <c r="A30" s="522" t="s">
        <v>264</v>
      </c>
      <c r="B30" s="523">
        <v>2017</v>
      </c>
      <c r="C30" s="523" t="s">
        <v>162</v>
      </c>
      <c r="D30" s="523" t="s">
        <v>131</v>
      </c>
      <c r="E30" s="523" t="s">
        <v>131</v>
      </c>
      <c r="F30" s="523" t="s">
        <v>146</v>
      </c>
      <c r="G30" s="523">
        <v>373.23960310564399</v>
      </c>
      <c r="H30" s="526">
        <v>5694.1929862315201</v>
      </c>
      <c r="I30" s="523">
        <v>1132.16012828829</v>
      </c>
      <c r="J30" s="523">
        <v>6.5151562838343098E-4</v>
      </c>
      <c r="K30" s="523">
        <v>1.7376302506208401E-4</v>
      </c>
      <c r="L30" s="523">
        <v>0</v>
      </c>
      <c r="M30" s="523">
        <v>8.2527865344551496E-4</v>
      </c>
      <c r="N30" s="523">
        <v>0</v>
      </c>
      <c r="O30" s="523">
        <v>0</v>
      </c>
      <c r="P30" s="523">
        <v>0</v>
      </c>
      <c r="Q30" s="523">
        <v>0</v>
      </c>
      <c r="R30" s="523">
        <v>8.2527865344551496E-4</v>
      </c>
      <c r="S30" s="523">
        <v>7.4170094870529995E-4</v>
      </c>
      <c r="T30" s="523">
        <v>1.97815976967788E-4</v>
      </c>
      <c r="U30" s="523">
        <v>0</v>
      </c>
      <c r="V30" s="523">
        <v>9.3951692567308901E-4</v>
      </c>
      <c r="W30" s="523">
        <v>0</v>
      </c>
      <c r="X30" s="523">
        <v>0</v>
      </c>
      <c r="Y30" s="523">
        <v>0</v>
      </c>
      <c r="Z30" s="523">
        <v>0</v>
      </c>
      <c r="AA30" s="523">
        <v>9.3951692567308901E-4</v>
      </c>
      <c r="AB30" s="523">
        <v>1.56096518928109E-3</v>
      </c>
      <c r="AC30" s="523">
        <v>2.1465975951793699E-3</v>
      </c>
      <c r="AD30" s="523">
        <v>0</v>
      </c>
      <c r="AE30" s="523">
        <v>3.7075627844604699E-3</v>
      </c>
      <c r="AF30" s="523">
        <v>4.79396940380791E-2</v>
      </c>
      <c r="AG30" s="523">
        <v>1.88394509000053E-2</v>
      </c>
      <c r="AH30" s="523">
        <v>1.0107420207099401E-3</v>
      </c>
      <c r="AI30" s="523">
        <v>6.7789886958794399E-2</v>
      </c>
      <c r="AJ30" s="523">
        <v>7.87441311347854</v>
      </c>
      <c r="AK30" s="523">
        <v>1.4620408966807501</v>
      </c>
      <c r="AL30" s="523">
        <v>0</v>
      </c>
      <c r="AM30" s="523">
        <v>9.3364540101592901</v>
      </c>
      <c r="AN30" s="523">
        <v>3.0261213500585701E-5</v>
      </c>
      <c r="AO30" s="523">
        <v>8.0708424646058799E-6</v>
      </c>
      <c r="AP30" s="523">
        <v>0</v>
      </c>
      <c r="AQ30" s="523">
        <v>3.8332055965191599E-5</v>
      </c>
      <c r="AR30" s="523">
        <v>2.7415920328296902E-4</v>
      </c>
      <c r="AS30" s="523">
        <v>4.2533116644622198E-5</v>
      </c>
      <c r="AT30" s="523">
        <v>0</v>
      </c>
      <c r="AU30" s="523">
        <v>3.1669231992759102E-4</v>
      </c>
      <c r="AV30" s="523">
        <v>7.5321280023711907E-5</v>
      </c>
      <c r="AW30" s="523">
        <v>8.1811463652421701E-4</v>
      </c>
      <c r="AX30" s="523">
        <v>1.2101282364755199E-3</v>
      </c>
      <c r="AY30" s="523">
        <v>2.6229919750714602E-4</v>
      </c>
      <c r="AZ30" s="523">
        <v>4.0693152846112399E-5</v>
      </c>
      <c r="BA30" s="523">
        <v>0</v>
      </c>
      <c r="BB30" s="523">
        <v>3.0299235035325902E-4</v>
      </c>
      <c r="BC30" s="523">
        <v>1.8830320005927899E-5</v>
      </c>
      <c r="BD30" s="523">
        <v>3.5062055851037797E-4</v>
      </c>
      <c r="BE30" s="523">
        <v>6.7244322886956598E-4</v>
      </c>
      <c r="BF30" s="523">
        <v>7.4393550603152201E-5</v>
      </c>
      <c r="BG30" s="523">
        <v>1.38126374453129E-5</v>
      </c>
      <c r="BH30" s="523">
        <v>0</v>
      </c>
      <c r="BI30" s="523">
        <v>8.8206188048465202E-5</v>
      </c>
      <c r="BJ30" s="523">
        <v>1.23774808377975E-3</v>
      </c>
      <c r="BK30" s="523">
        <v>2.2981246883995601E-4</v>
      </c>
      <c r="BL30" s="523">
        <v>0</v>
      </c>
      <c r="BM30" s="523">
        <v>1.4675605526197101E-3</v>
      </c>
      <c r="BN30" s="528">
        <v>0.83209307495519602</v>
      </c>
    </row>
    <row r="31" spans="1:66">
      <c r="A31" s="522" t="s">
        <v>264</v>
      </c>
      <c r="B31" s="523">
        <v>2017</v>
      </c>
      <c r="C31" s="523" t="s">
        <v>161</v>
      </c>
      <c r="D31" s="523" t="s">
        <v>131</v>
      </c>
      <c r="E31" s="523" t="s">
        <v>131</v>
      </c>
      <c r="F31" s="523" t="s">
        <v>146</v>
      </c>
      <c r="G31" s="523">
        <v>78.543137352535396</v>
      </c>
      <c r="H31" s="526">
        <v>1317.8558017973101</v>
      </c>
      <c r="I31" s="523">
        <v>903.24607955415695</v>
      </c>
      <c r="J31" s="523">
        <v>5.53917162210989E-5</v>
      </c>
      <c r="K31" s="523">
        <v>1.2376729803017299E-5</v>
      </c>
      <c r="L31" s="523">
        <v>0</v>
      </c>
      <c r="M31" s="523">
        <v>6.7768446024116301E-5</v>
      </c>
      <c r="N31" s="523">
        <v>0</v>
      </c>
      <c r="O31" s="523">
        <v>0</v>
      </c>
      <c r="P31" s="523">
        <v>0</v>
      </c>
      <c r="Q31" s="523">
        <v>0</v>
      </c>
      <c r="R31" s="523">
        <v>6.7768446024116301E-5</v>
      </c>
      <c r="S31" s="523">
        <v>6.30592524288995E-5</v>
      </c>
      <c r="T31" s="523">
        <v>1.40899647481128E-5</v>
      </c>
      <c r="U31" s="523">
        <v>0</v>
      </c>
      <c r="V31" s="523">
        <v>7.7149217177012406E-5</v>
      </c>
      <c r="W31" s="523">
        <v>0</v>
      </c>
      <c r="X31" s="523">
        <v>0</v>
      </c>
      <c r="Y31" s="523">
        <v>0</v>
      </c>
      <c r="Z31" s="523">
        <v>0</v>
      </c>
      <c r="AA31" s="523">
        <v>7.7149217177012406E-5</v>
      </c>
      <c r="AB31" s="523">
        <v>2.0103169898815E-4</v>
      </c>
      <c r="AC31" s="523">
        <v>3.6575956442425598E-4</v>
      </c>
      <c r="AD31" s="523">
        <v>0</v>
      </c>
      <c r="AE31" s="523">
        <v>5.6679126341240601E-4</v>
      </c>
      <c r="AF31" s="523">
        <v>3.73237432323024E-3</v>
      </c>
      <c r="AG31" s="523">
        <v>1.3102195862108501E-3</v>
      </c>
      <c r="AH31" s="523">
        <v>1.25327134298022E-3</v>
      </c>
      <c r="AI31" s="523">
        <v>6.2958652524213099E-3</v>
      </c>
      <c r="AJ31" s="523">
        <v>1.6423736947193499</v>
      </c>
      <c r="AK31" s="523">
        <v>0.161746428786574</v>
      </c>
      <c r="AL31" s="523">
        <v>0</v>
      </c>
      <c r="AM31" s="523">
        <v>1.8041201235059201</v>
      </c>
      <c r="AN31" s="523">
        <v>2.57280175287528E-6</v>
      </c>
      <c r="AO31" s="523">
        <v>5.7486704338540897E-7</v>
      </c>
      <c r="AP31" s="523">
        <v>0</v>
      </c>
      <c r="AQ31" s="523">
        <v>3.1476687962606899E-6</v>
      </c>
      <c r="AR31" s="523">
        <v>1.71009159140428E-5</v>
      </c>
      <c r="AS31" s="523">
        <v>7.2180027312733102E-7</v>
      </c>
      <c r="AT31" s="523">
        <v>0</v>
      </c>
      <c r="AU31" s="523">
        <v>1.7822716187170099E-5</v>
      </c>
      <c r="AV31" s="523">
        <v>1.7432248277862101E-5</v>
      </c>
      <c r="AW31" s="523">
        <v>1.8934327004471201E-4</v>
      </c>
      <c r="AX31" s="523">
        <v>2.2459823450974499E-4</v>
      </c>
      <c r="AY31" s="523">
        <v>1.63611378614232E-5</v>
      </c>
      <c r="AZ31" s="523">
        <v>6.9057551282101697E-7</v>
      </c>
      <c r="BA31" s="523">
        <v>0</v>
      </c>
      <c r="BB31" s="523">
        <v>1.70517133742443E-5</v>
      </c>
      <c r="BC31" s="523">
        <v>4.3580620694655304E-6</v>
      </c>
      <c r="BD31" s="523">
        <v>8.1147115733448298E-5</v>
      </c>
      <c r="BE31" s="523">
        <v>1.02556891177158E-4</v>
      </c>
      <c r="BF31" s="523">
        <v>1.5516332303959501E-5</v>
      </c>
      <c r="BG31" s="523">
        <v>1.52810005792261E-6</v>
      </c>
      <c r="BH31" s="523">
        <v>0</v>
      </c>
      <c r="BI31" s="523">
        <v>1.7044432361882199E-5</v>
      </c>
      <c r="BJ31" s="523">
        <v>2.5815827340955197E-4</v>
      </c>
      <c r="BK31" s="523">
        <v>2.5424286153607898E-5</v>
      </c>
      <c r="BL31" s="523">
        <v>0</v>
      </c>
      <c r="BM31" s="523">
        <v>2.8358255956316002E-4</v>
      </c>
      <c r="BN31" s="528">
        <v>0.16078865268581499</v>
      </c>
    </row>
    <row r="32" spans="1:66">
      <c r="A32" s="522" t="s">
        <v>264</v>
      </c>
      <c r="B32" s="523">
        <v>2017</v>
      </c>
      <c r="C32" s="523" t="s">
        <v>160</v>
      </c>
      <c r="D32" s="523" t="s">
        <v>131</v>
      </c>
      <c r="E32" s="523" t="s">
        <v>131</v>
      </c>
      <c r="F32" s="523" t="s">
        <v>146</v>
      </c>
      <c r="G32" s="523">
        <v>3.3377980701999901</v>
      </c>
      <c r="H32" s="526">
        <v>79.022937582204705</v>
      </c>
      <c r="I32" s="523">
        <v>14.686311508879999</v>
      </c>
      <c r="J32" s="523">
        <v>8.4570591871757305E-5</v>
      </c>
      <c r="K32" s="523">
        <v>1.32235006134459E-5</v>
      </c>
      <c r="L32" s="523">
        <v>0</v>
      </c>
      <c r="M32" s="523">
        <v>9.7794092485203204E-5</v>
      </c>
      <c r="N32" s="523">
        <v>0</v>
      </c>
      <c r="O32" s="523">
        <v>0</v>
      </c>
      <c r="P32" s="523">
        <v>0</v>
      </c>
      <c r="Q32" s="523">
        <v>0</v>
      </c>
      <c r="R32" s="523">
        <v>9.7794092485203204E-5</v>
      </c>
      <c r="S32" s="523">
        <v>9.6277181223556994E-5</v>
      </c>
      <c r="T32" s="523">
        <v>1.5053948858500401E-5</v>
      </c>
      <c r="U32" s="523">
        <v>0</v>
      </c>
      <c r="V32" s="523">
        <v>1.1133113008205701E-4</v>
      </c>
      <c r="W32" s="523">
        <v>0</v>
      </c>
      <c r="X32" s="523">
        <v>0</v>
      </c>
      <c r="Y32" s="523">
        <v>0</v>
      </c>
      <c r="Z32" s="523">
        <v>0</v>
      </c>
      <c r="AA32" s="523">
        <v>1.1133113008205701E-4</v>
      </c>
      <c r="AB32" s="523">
        <v>2.9786590421510798E-4</v>
      </c>
      <c r="AC32" s="523">
        <v>4.7289197617280498E-5</v>
      </c>
      <c r="AD32" s="523">
        <v>0</v>
      </c>
      <c r="AE32" s="523">
        <v>3.4515510183238902E-4</v>
      </c>
      <c r="AF32" s="523">
        <v>1.1544615181002501E-3</v>
      </c>
      <c r="AG32" s="523">
        <v>7.9651609482606894E-5</v>
      </c>
      <c r="AH32" s="523">
        <v>1.87403315482519E-5</v>
      </c>
      <c r="AI32" s="523">
        <v>1.25285345913111E-3</v>
      </c>
      <c r="AJ32" s="523">
        <v>0.145279705986645</v>
      </c>
      <c r="AK32" s="523">
        <v>6.4108423305213498E-3</v>
      </c>
      <c r="AL32" s="523">
        <v>0</v>
      </c>
      <c r="AM32" s="523">
        <v>0.151690548317166</v>
      </c>
      <c r="AN32" s="523">
        <v>3.9280849530074502E-6</v>
      </c>
      <c r="AO32" s="523">
        <v>6.1419735437736897E-7</v>
      </c>
      <c r="AP32" s="523">
        <v>0</v>
      </c>
      <c r="AQ32" s="523">
        <v>4.5422823073848198E-6</v>
      </c>
      <c r="AR32" s="523">
        <v>5.48857980788214E-5</v>
      </c>
      <c r="AS32" s="523">
        <v>2.2986197882820701E-6</v>
      </c>
      <c r="AT32" s="523">
        <v>0</v>
      </c>
      <c r="AU32" s="523">
        <v>5.71844178671034E-5</v>
      </c>
      <c r="AV32" s="523">
        <v>3.1358836050961002E-6</v>
      </c>
      <c r="AW32" s="523">
        <v>5.3780403827398098E-6</v>
      </c>
      <c r="AX32" s="523">
        <v>6.5698341854939396E-5</v>
      </c>
      <c r="AY32" s="523">
        <v>5.2511462749455798E-5</v>
      </c>
      <c r="AZ32" s="523">
        <v>2.1991825137386801E-6</v>
      </c>
      <c r="BA32" s="523">
        <v>0</v>
      </c>
      <c r="BB32" s="523">
        <v>5.4710645263194503E-5</v>
      </c>
      <c r="BC32" s="523">
        <v>7.83970901274026E-7</v>
      </c>
      <c r="BD32" s="523">
        <v>2.3048744497456301E-6</v>
      </c>
      <c r="BE32" s="523">
        <v>5.7799490614214199E-5</v>
      </c>
      <c r="BF32" s="523">
        <v>1.37253062586072E-6</v>
      </c>
      <c r="BG32" s="523">
        <v>6.0566459550886696E-8</v>
      </c>
      <c r="BH32" s="523">
        <v>0</v>
      </c>
      <c r="BI32" s="523">
        <v>1.4330970854116E-6</v>
      </c>
      <c r="BJ32" s="523">
        <v>2.2835946642075601E-5</v>
      </c>
      <c r="BK32" s="523">
        <v>1.00769513812206E-6</v>
      </c>
      <c r="BL32" s="523">
        <v>0</v>
      </c>
      <c r="BM32" s="523">
        <v>2.3843641780197601E-5</v>
      </c>
      <c r="BN32" s="528">
        <v>1.35191213552303E-2</v>
      </c>
    </row>
    <row r="33" spans="1:66">
      <c r="A33" s="522" t="s">
        <v>264</v>
      </c>
      <c r="B33" s="523">
        <v>2017</v>
      </c>
      <c r="C33" s="523" t="s">
        <v>159</v>
      </c>
      <c r="D33" s="523" t="s">
        <v>131</v>
      </c>
      <c r="E33" s="523" t="s">
        <v>131</v>
      </c>
      <c r="F33" s="523" t="s">
        <v>146</v>
      </c>
      <c r="G33" s="523">
        <v>59.793170232003803</v>
      </c>
      <c r="H33" s="526">
        <v>12011.617427880699</v>
      </c>
      <c r="I33" s="523">
        <v>872.98028538725703</v>
      </c>
      <c r="J33" s="523">
        <v>2.0809300609418301E-3</v>
      </c>
      <c r="K33" s="523">
        <v>7.3354474061084797E-4</v>
      </c>
      <c r="L33" s="523">
        <v>0</v>
      </c>
      <c r="M33" s="523">
        <v>2.8144748015526801E-3</v>
      </c>
      <c r="N33" s="523">
        <v>0</v>
      </c>
      <c r="O33" s="523">
        <v>0</v>
      </c>
      <c r="P33" s="523">
        <v>0</v>
      </c>
      <c r="Q33" s="523">
        <v>0</v>
      </c>
      <c r="R33" s="523">
        <v>2.8144748015526801E-3</v>
      </c>
      <c r="S33" s="523">
        <v>2.3689804713043598E-3</v>
      </c>
      <c r="T33" s="523">
        <v>8.3508484881448196E-4</v>
      </c>
      <c r="U33" s="523">
        <v>0</v>
      </c>
      <c r="V33" s="523">
        <v>3.2040653201188402E-3</v>
      </c>
      <c r="W33" s="523">
        <v>0</v>
      </c>
      <c r="X33" s="523">
        <v>0</v>
      </c>
      <c r="Y33" s="523">
        <v>0</v>
      </c>
      <c r="Z33" s="523">
        <v>0</v>
      </c>
      <c r="AA33" s="523">
        <v>3.2040653201188402E-3</v>
      </c>
      <c r="AB33" s="523">
        <v>7.50926976042369E-3</v>
      </c>
      <c r="AC33" s="523">
        <v>7.3208251590546596E-3</v>
      </c>
      <c r="AD33" s="523">
        <v>0</v>
      </c>
      <c r="AE33" s="523">
        <v>1.4830094919478299E-2</v>
      </c>
      <c r="AF33" s="523">
        <v>5.9897153571055503E-2</v>
      </c>
      <c r="AG33" s="523">
        <v>9.1633003877518195E-3</v>
      </c>
      <c r="AH33" s="523">
        <v>1.3479315190565E-3</v>
      </c>
      <c r="AI33" s="523">
        <v>7.0408385477863794E-2</v>
      </c>
      <c r="AJ33" s="523">
        <v>19.815168591570099</v>
      </c>
      <c r="AK33" s="523">
        <v>1.6916601960603099</v>
      </c>
      <c r="AL33" s="523">
        <v>0</v>
      </c>
      <c r="AM33" s="523">
        <v>21.506828787630401</v>
      </c>
      <c r="AN33" s="523">
        <v>9.6653811682453995E-5</v>
      </c>
      <c r="AO33" s="523">
        <v>3.4071253306594002E-5</v>
      </c>
      <c r="AP33" s="523">
        <v>0</v>
      </c>
      <c r="AQ33" s="523">
        <v>1.3072506498904799E-4</v>
      </c>
      <c r="AR33" s="523">
        <v>1.11965654679251E-3</v>
      </c>
      <c r="AS33" s="523">
        <v>3.6552804049742902E-5</v>
      </c>
      <c r="AT33" s="523">
        <v>0</v>
      </c>
      <c r="AU33" s="523">
        <v>1.15620935084226E-3</v>
      </c>
      <c r="AV33" s="523">
        <v>4.7665950311697797E-4</v>
      </c>
      <c r="AW33" s="523">
        <v>8.1747104784561805E-4</v>
      </c>
      <c r="AX33" s="523">
        <v>2.4503399018048501E-3</v>
      </c>
      <c r="AY33" s="523">
        <v>1.07122070020088E-3</v>
      </c>
      <c r="AZ33" s="523">
        <v>3.4971545926866702E-5</v>
      </c>
      <c r="BA33" s="523">
        <v>0</v>
      </c>
      <c r="BB33" s="523">
        <v>1.1061922461277501E-3</v>
      </c>
      <c r="BC33" s="523">
        <v>1.1916487577924401E-4</v>
      </c>
      <c r="BD33" s="523">
        <v>3.5034473479097898E-4</v>
      </c>
      <c r="BE33" s="523">
        <v>1.57570185669798E-3</v>
      </c>
      <c r="BF33" s="523">
        <v>1.87203887589251E-4</v>
      </c>
      <c r="BG33" s="523">
        <v>1.5981966730134798E-5</v>
      </c>
      <c r="BH33" s="523">
        <v>0</v>
      </c>
      <c r="BI33" s="523">
        <v>2.03185854319386E-4</v>
      </c>
      <c r="BJ33" s="523">
        <v>3.11466856012514E-3</v>
      </c>
      <c r="BK33" s="523">
        <v>2.6590542506540901E-4</v>
      </c>
      <c r="BL33" s="523">
        <v>0</v>
      </c>
      <c r="BM33" s="523">
        <v>3.3805739851905498E-3</v>
      </c>
      <c r="BN33" s="528">
        <v>1.9167537567219299</v>
      </c>
    </row>
    <row r="34" spans="1:66">
      <c r="A34" s="522" t="s">
        <v>264</v>
      </c>
      <c r="B34" s="523">
        <v>2017</v>
      </c>
      <c r="C34" s="523" t="s">
        <v>158</v>
      </c>
      <c r="D34" s="523" t="s">
        <v>131</v>
      </c>
      <c r="E34" s="523" t="s">
        <v>131</v>
      </c>
      <c r="F34" s="523" t="s">
        <v>146</v>
      </c>
      <c r="G34" s="523">
        <v>5.4708583286265302</v>
      </c>
      <c r="H34" s="526">
        <v>1100.3096360767399</v>
      </c>
      <c r="I34" s="523">
        <v>24.733537797237801</v>
      </c>
      <c r="J34" s="523">
        <v>4.7507201564781599E-4</v>
      </c>
      <c r="K34" s="523">
        <v>9.7716396661248495E-6</v>
      </c>
      <c r="L34" s="523">
        <v>0</v>
      </c>
      <c r="M34" s="523">
        <v>4.8484365531394102E-4</v>
      </c>
      <c r="N34" s="523">
        <v>0</v>
      </c>
      <c r="O34" s="523">
        <v>0</v>
      </c>
      <c r="P34" s="523">
        <v>0</v>
      </c>
      <c r="Q34" s="523">
        <v>0</v>
      </c>
      <c r="R34" s="523">
        <v>4.8484365531394102E-4</v>
      </c>
      <c r="S34" s="523">
        <v>5.4083332672098501E-4</v>
      </c>
      <c r="T34" s="523">
        <v>1.1124267930079099E-5</v>
      </c>
      <c r="U34" s="523">
        <v>0</v>
      </c>
      <c r="V34" s="523">
        <v>5.5195759465106401E-4</v>
      </c>
      <c r="W34" s="523">
        <v>0</v>
      </c>
      <c r="X34" s="523">
        <v>0</v>
      </c>
      <c r="Y34" s="523">
        <v>0</v>
      </c>
      <c r="Z34" s="523">
        <v>0</v>
      </c>
      <c r="AA34" s="523">
        <v>5.5195759465106401E-4</v>
      </c>
      <c r="AB34" s="523">
        <v>1.41427736779002E-3</v>
      </c>
      <c r="AC34" s="523">
        <v>1.0736594514316E-4</v>
      </c>
      <c r="AD34" s="523">
        <v>0</v>
      </c>
      <c r="AE34" s="523">
        <v>1.5216433129331801E-3</v>
      </c>
      <c r="AF34" s="523">
        <v>7.5493396542107198E-3</v>
      </c>
      <c r="AG34" s="523">
        <v>1.47218147731546E-4</v>
      </c>
      <c r="AH34" s="523">
        <v>7.8433836113076303E-5</v>
      </c>
      <c r="AI34" s="523">
        <v>7.7749916380553397E-3</v>
      </c>
      <c r="AJ34" s="523">
        <v>2.3034512791786601</v>
      </c>
      <c r="AK34" s="523">
        <v>2.37955981367803E-2</v>
      </c>
      <c r="AL34" s="523">
        <v>0</v>
      </c>
      <c r="AM34" s="523">
        <v>2.32724687731544</v>
      </c>
      <c r="AN34" s="523">
        <v>2.2065864681317199E-5</v>
      </c>
      <c r="AO34" s="523">
        <v>4.5386735375957802E-7</v>
      </c>
      <c r="AP34" s="523">
        <v>0</v>
      </c>
      <c r="AQ34" s="523">
        <v>2.2519732035076801E-5</v>
      </c>
      <c r="AR34" s="523">
        <v>1.09727580206604E-4</v>
      </c>
      <c r="AS34" s="523">
        <v>2.8548732028992002E-7</v>
      </c>
      <c r="AT34" s="523">
        <v>0</v>
      </c>
      <c r="AU34" s="523">
        <v>1.1001306752689399E-4</v>
      </c>
      <c r="AV34" s="523">
        <v>4.36638152651938E-5</v>
      </c>
      <c r="AW34" s="523">
        <v>7.4883443179807503E-5</v>
      </c>
      <c r="AX34" s="523">
        <v>2.2856032597189601E-4</v>
      </c>
      <c r="AY34" s="523">
        <v>1.04980813658431E-4</v>
      </c>
      <c r="AZ34" s="523">
        <v>2.7313726518683498E-7</v>
      </c>
      <c r="BA34" s="523">
        <v>0</v>
      </c>
      <c r="BB34" s="523">
        <v>1.05253950923618E-4</v>
      </c>
      <c r="BC34" s="523">
        <v>1.0915953816298401E-5</v>
      </c>
      <c r="BD34" s="523">
        <v>3.2092904219917498E-5</v>
      </c>
      <c r="BE34" s="523">
        <v>1.4826280895983399E-4</v>
      </c>
      <c r="BF34" s="523">
        <v>2.17618655295282E-5</v>
      </c>
      <c r="BG34" s="523">
        <v>2.2480901225397201E-7</v>
      </c>
      <c r="BH34" s="523">
        <v>0</v>
      </c>
      <c r="BI34" s="523">
        <v>2.19866745417821E-5</v>
      </c>
      <c r="BJ34" s="523">
        <v>3.6207046363915499E-4</v>
      </c>
      <c r="BK34" s="523">
        <v>3.7403366538870899E-6</v>
      </c>
      <c r="BL34" s="523">
        <v>0</v>
      </c>
      <c r="BM34" s="523">
        <v>3.6581080029304201E-4</v>
      </c>
      <c r="BN34" s="528">
        <v>0.20741129428990199</v>
      </c>
    </row>
    <row r="35" spans="1:66">
      <c r="A35" s="522" t="s">
        <v>264</v>
      </c>
      <c r="B35" s="523">
        <v>2017</v>
      </c>
      <c r="C35" s="523" t="s">
        <v>157</v>
      </c>
      <c r="D35" s="523" t="s">
        <v>131</v>
      </c>
      <c r="E35" s="523" t="s">
        <v>131</v>
      </c>
      <c r="F35" s="523" t="s">
        <v>146</v>
      </c>
      <c r="G35" s="523">
        <v>70.233807164685899</v>
      </c>
      <c r="H35" s="526">
        <v>14656.249310978899</v>
      </c>
      <c r="I35" s="523">
        <v>1025.4135846044101</v>
      </c>
      <c r="J35" s="523">
        <v>2.3692929629267798E-3</v>
      </c>
      <c r="K35" s="523">
        <v>1.1045033787274901E-3</v>
      </c>
      <c r="L35" s="523">
        <v>0</v>
      </c>
      <c r="M35" s="523">
        <v>3.4737963416542799E-3</v>
      </c>
      <c r="N35" s="523">
        <v>0</v>
      </c>
      <c r="O35" s="523">
        <v>0</v>
      </c>
      <c r="P35" s="523">
        <v>0</v>
      </c>
      <c r="Q35" s="523">
        <v>0</v>
      </c>
      <c r="R35" s="523">
        <v>3.4737963416542799E-3</v>
      </c>
      <c r="S35" s="523">
        <v>2.69725968465852E-3</v>
      </c>
      <c r="T35" s="523">
        <v>1.2573930204607001E-3</v>
      </c>
      <c r="U35" s="523">
        <v>0</v>
      </c>
      <c r="V35" s="523">
        <v>3.9546527051192203E-3</v>
      </c>
      <c r="W35" s="523">
        <v>0</v>
      </c>
      <c r="X35" s="523">
        <v>0</v>
      </c>
      <c r="Y35" s="523">
        <v>0</v>
      </c>
      <c r="Z35" s="523">
        <v>0</v>
      </c>
      <c r="AA35" s="523">
        <v>3.9546527051192203E-3</v>
      </c>
      <c r="AB35" s="523">
        <v>9.3554746461534406E-3</v>
      </c>
      <c r="AC35" s="523">
        <v>1.16047315958775E-2</v>
      </c>
      <c r="AD35" s="523">
        <v>0</v>
      </c>
      <c r="AE35" s="523">
        <v>2.0960206242031001E-2</v>
      </c>
      <c r="AF35" s="523">
        <v>5.9463298719941597E-2</v>
      </c>
      <c r="AG35" s="523">
        <v>1.16626895233089E-2</v>
      </c>
      <c r="AH35" s="523">
        <v>1.8177014846004001E-3</v>
      </c>
      <c r="AI35" s="523">
        <v>7.2943689727850994E-2</v>
      </c>
      <c r="AJ35" s="523">
        <v>23.2702750697593</v>
      </c>
      <c r="AK35" s="523">
        <v>2.2851177788764701</v>
      </c>
      <c r="AL35" s="523">
        <v>0</v>
      </c>
      <c r="AM35" s="523">
        <v>25.555392848635801</v>
      </c>
      <c r="AN35" s="523">
        <v>1.10047521614274E-4</v>
      </c>
      <c r="AO35" s="523">
        <v>5.1301321257209503E-5</v>
      </c>
      <c r="AP35" s="523">
        <v>0</v>
      </c>
      <c r="AQ35" s="523">
        <v>1.6134884287148299E-4</v>
      </c>
      <c r="AR35" s="523">
        <v>1.4982087019461501E-3</v>
      </c>
      <c r="AS35" s="523">
        <v>6.7602826531640094E-5</v>
      </c>
      <c r="AT35" s="523">
        <v>0</v>
      </c>
      <c r="AU35" s="523">
        <v>1.56581152847779E-3</v>
      </c>
      <c r="AV35" s="523">
        <v>5.8160697808391597E-4</v>
      </c>
      <c r="AW35" s="523">
        <v>9.9745596741391608E-4</v>
      </c>
      <c r="AX35" s="523">
        <v>3.1448744739756302E-3</v>
      </c>
      <c r="AY35" s="523">
        <v>1.43339685669094E-3</v>
      </c>
      <c r="AZ35" s="523">
        <v>6.4678358180673699E-5</v>
      </c>
      <c r="BA35" s="523">
        <v>0</v>
      </c>
      <c r="BB35" s="523">
        <v>1.4980752148716101E-3</v>
      </c>
      <c r="BC35" s="523">
        <v>1.4540174452097899E-4</v>
      </c>
      <c r="BD35" s="523">
        <v>4.2748112889167799E-4</v>
      </c>
      <c r="BE35" s="523">
        <v>2.07095808828427E-3</v>
      </c>
      <c r="BF35" s="523">
        <v>2.19846020395883E-4</v>
      </c>
      <c r="BG35" s="523">
        <v>2.1588659709258298E-5</v>
      </c>
      <c r="BH35" s="523">
        <v>0</v>
      </c>
      <c r="BI35" s="523">
        <v>2.4143468010514099E-4</v>
      </c>
      <c r="BJ35" s="523">
        <v>3.6577631833058298E-3</v>
      </c>
      <c r="BK35" s="523">
        <v>3.5918869270067398E-4</v>
      </c>
      <c r="BL35" s="523">
        <v>0</v>
      </c>
      <c r="BM35" s="523">
        <v>4.0169518760065099E-3</v>
      </c>
      <c r="BN35" s="528">
        <v>2.2775740547718502</v>
      </c>
    </row>
    <row r="36" spans="1:66">
      <c r="A36" s="522" t="s">
        <v>264</v>
      </c>
      <c r="B36" s="523">
        <v>2017</v>
      </c>
      <c r="C36" s="523" t="s">
        <v>156</v>
      </c>
      <c r="D36" s="523" t="s">
        <v>131</v>
      </c>
      <c r="E36" s="523" t="s">
        <v>131</v>
      </c>
      <c r="F36" s="523" t="s">
        <v>146</v>
      </c>
      <c r="G36" s="523">
        <v>23.4558284998988</v>
      </c>
      <c r="H36" s="526">
        <v>4715.9948484799297</v>
      </c>
      <c r="I36" s="523">
        <v>342.45509609852297</v>
      </c>
      <c r="J36" s="523">
        <v>8.0685535418483E-4</v>
      </c>
      <c r="K36" s="523">
        <v>3.5860189300558799E-4</v>
      </c>
      <c r="L36" s="523">
        <v>0</v>
      </c>
      <c r="M36" s="523">
        <v>1.16545724719041E-3</v>
      </c>
      <c r="N36" s="523">
        <v>0</v>
      </c>
      <c r="O36" s="523">
        <v>0</v>
      </c>
      <c r="P36" s="523">
        <v>0</v>
      </c>
      <c r="Q36" s="523">
        <v>0</v>
      </c>
      <c r="R36" s="523">
        <v>1.16545724719041E-3</v>
      </c>
      <c r="S36" s="523">
        <v>9.1854340187008004E-4</v>
      </c>
      <c r="T36" s="523">
        <v>4.0824095794863901E-4</v>
      </c>
      <c r="U36" s="523">
        <v>0</v>
      </c>
      <c r="V36" s="523">
        <v>1.3267843598187101E-3</v>
      </c>
      <c r="W36" s="523">
        <v>0</v>
      </c>
      <c r="X36" s="523">
        <v>0</v>
      </c>
      <c r="Y36" s="523">
        <v>0</v>
      </c>
      <c r="Z36" s="523">
        <v>0</v>
      </c>
      <c r="AA36" s="523">
        <v>1.3267843598187101E-3</v>
      </c>
      <c r="AB36" s="523">
        <v>2.9186224993723101E-3</v>
      </c>
      <c r="AC36" s="523">
        <v>3.5801056366338798E-3</v>
      </c>
      <c r="AD36" s="523">
        <v>0</v>
      </c>
      <c r="AE36" s="523">
        <v>6.4987281360061903E-3</v>
      </c>
      <c r="AF36" s="523">
        <v>2.3334874669346199E-2</v>
      </c>
      <c r="AG36" s="523">
        <v>4.4548241906335103E-3</v>
      </c>
      <c r="AH36" s="523">
        <v>5.3221450057377095E-4</v>
      </c>
      <c r="AI36" s="523">
        <v>2.8321913360553501E-2</v>
      </c>
      <c r="AJ36" s="523">
        <v>7.7827050118783596</v>
      </c>
      <c r="AK36" s="523">
        <v>0.82715908455431897</v>
      </c>
      <c r="AL36" s="523">
        <v>0</v>
      </c>
      <c r="AM36" s="523">
        <v>8.6098640964326805</v>
      </c>
      <c r="AN36" s="523">
        <v>3.7476341431226999E-5</v>
      </c>
      <c r="AO36" s="523">
        <v>1.6656129144410699E-5</v>
      </c>
      <c r="AP36" s="523">
        <v>0</v>
      </c>
      <c r="AQ36" s="523">
        <v>5.4132470575637697E-5</v>
      </c>
      <c r="AR36" s="523">
        <v>4.3552634468589402E-4</v>
      </c>
      <c r="AS36" s="523">
        <v>1.7855967219850301E-5</v>
      </c>
      <c r="AT36" s="523">
        <v>0</v>
      </c>
      <c r="AU36" s="523">
        <v>4.53382311905745E-4</v>
      </c>
      <c r="AV36" s="523">
        <v>1.8714580069465999E-4</v>
      </c>
      <c r="AW36" s="523">
        <v>3.20955048191343E-4</v>
      </c>
      <c r="AX36" s="523">
        <v>9.6148316079174901E-4</v>
      </c>
      <c r="AY36" s="523">
        <v>4.1668566780310402E-4</v>
      </c>
      <c r="AZ36" s="523">
        <v>1.7083525981969499E-5</v>
      </c>
      <c r="BA36" s="523">
        <v>0</v>
      </c>
      <c r="BB36" s="523">
        <v>4.3376919378507401E-4</v>
      </c>
      <c r="BC36" s="523">
        <v>4.67864501736652E-5</v>
      </c>
      <c r="BD36" s="523">
        <v>1.3755216351057499E-4</v>
      </c>
      <c r="BE36" s="523">
        <v>6.1810780746931495E-4</v>
      </c>
      <c r="BF36" s="523">
        <v>7.3527137932291093E-5</v>
      </c>
      <c r="BG36" s="523">
        <v>7.8145888876873204E-6</v>
      </c>
      <c r="BH36" s="523">
        <v>0</v>
      </c>
      <c r="BI36" s="523">
        <v>8.1341726819978395E-5</v>
      </c>
      <c r="BJ36" s="523">
        <v>1.2233328473187099E-3</v>
      </c>
      <c r="BK36" s="523">
        <v>1.30017889223474E-4</v>
      </c>
      <c r="BL36" s="523">
        <v>0</v>
      </c>
      <c r="BM36" s="523">
        <v>1.35335073654219E-3</v>
      </c>
      <c r="BN36" s="528">
        <v>0.76733717995626605</v>
      </c>
    </row>
    <row r="37" spans="1:66">
      <c r="A37" s="522" t="s">
        <v>264</v>
      </c>
      <c r="B37" s="523">
        <v>2017</v>
      </c>
      <c r="C37" s="523" t="s">
        <v>155</v>
      </c>
      <c r="D37" s="523" t="s">
        <v>131</v>
      </c>
      <c r="E37" s="523" t="s">
        <v>131</v>
      </c>
      <c r="F37" s="523" t="s">
        <v>146</v>
      </c>
      <c r="G37" s="523">
        <v>7.71877338773609</v>
      </c>
      <c r="H37" s="526">
        <v>1260.3295958547901</v>
      </c>
      <c r="I37" s="523">
        <v>58.662677746794301</v>
      </c>
      <c r="J37" s="523">
        <v>4.1836302922107E-4</v>
      </c>
      <c r="K37" s="523">
        <v>1.40023324582636E-5</v>
      </c>
      <c r="L37" s="523">
        <v>0</v>
      </c>
      <c r="M37" s="523">
        <v>4.3236536167933398E-4</v>
      </c>
      <c r="N37" s="523">
        <v>0</v>
      </c>
      <c r="O37" s="523">
        <v>0</v>
      </c>
      <c r="P37" s="523">
        <v>0</v>
      </c>
      <c r="Q37" s="523">
        <v>0</v>
      </c>
      <c r="R37" s="523">
        <v>4.3236536167933398E-4</v>
      </c>
      <c r="S37" s="523">
        <v>4.7627446243526299E-4</v>
      </c>
      <c r="T37" s="523">
        <v>1.5940589628141701E-5</v>
      </c>
      <c r="U37" s="523">
        <v>0</v>
      </c>
      <c r="V37" s="523">
        <v>4.9221505206340497E-4</v>
      </c>
      <c r="W37" s="523">
        <v>0</v>
      </c>
      <c r="X37" s="523">
        <v>0</v>
      </c>
      <c r="Y37" s="523">
        <v>0</v>
      </c>
      <c r="Z37" s="523">
        <v>0</v>
      </c>
      <c r="AA37" s="523">
        <v>4.9221505206340497E-4</v>
      </c>
      <c r="AB37" s="523">
        <v>1.3477678246302601E-3</v>
      </c>
      <c r="AC37" s="523">
        <v>1.2828087807854801E-4</v>
      </c>
      <c r="AD37" s="523">
        <v>0</v>
      </c>
      <c r="AE37" s="523">
        <v>1.47604870270881E-3</v>
      </c>
      <c r="AF37" s="523">
        <v>8.7494473318822704E-3</v>
      </c>
      <c r="AG37" s="523">
        <v>2.7462245445512498E-4</v>
      </c>
      <c r="AH37" s="523">
        <v>5.40528296859352E-5</v>
      </c>
      <c r="AI37" s="523">
        <v>9.0781226160233305E-3</v>
      </c>
      <c r="AJ37" s="523">
        <v>2.6486060578436001</v>
      </c>
      <c r="AK37" s="523">
        <v>4.1070332685585298E-2</v>
      </c>
      <c r="AL37" s="523">
        <v>0</v>
      </c>
      <c r="AM37" s="523">
        <v>2.6896763905291898</v>
      </c>
      <c r="AN37" s="523">
        <v>1.94318791391445E-5</v>
      </c>
      <c r="AO37" s="523">
        <v>6.5037207637991797E-7</v>
      </c>
      <c r="AP37" s="523">
        <v>0</v>
      </c>
      <c r="AQ37" s="523">
        <v>2.0082251215524401E-5</v>
      </c>
      <c r="AR37" s="523">
        <v>4.9123916473817697E-5</v>
      </c>
      <c r="AS37" s="523">
        <v>9.3549516299208795E-8</v>
      </c>
      <c r="AT37" s="523">
        <v>0</v>
      </c>
      <c r="AU37" s="523">
        <v>4.9217465990116902E-5</v>
      </c>
      <c r="AV37" s="523">
        <v>5.0013920484126201E-5</v>
      </c>
      <c r="AW37" s="523">
        <v>8.5773873630276594E-5</v>
      </c>
      <c r="AX37" s="523">
        <v>1.85005260104519E-4</v>
      </c>
      <c r="AY37" s="523">
        <v>4.6998837592153499E-5</v>
      </c>
      <c r="AZ37" s="523">
        <v>8.9502605634353695E-8</v>
      </c>
      <c r="BA37" s="523">
        <v>0</v>
      </c>
      <c r="BB37" s="523">
        <v>4.7088340197787903E-5</v>
      </c>
      <c r="BC37" s="523">
        <v>1.2503480121031499E-5</v>
      </c>
      <c r="BD37" s="523">
        <v>3.6760231555832797E-5</v>
      </c>
      <c r="BE37" s="523">
        <v>9.6352051874652294E-5</v>
      </c>
      <c r="BF37" s="523">
        <v>2.50227167348807E-5</v>
      </c>
      <c r="BG37" s="523">
        <v>3.88012138670188E-7</v>
      </c>
      <c r="BH37" s="523">
        <v>0</v>
      </c>
      <c r="BI37" s="523">
        <v>2.54107288735509E-5</v>
      </c>
      <c r="BJ37" s="523">
        <v>4.16323988281988E-4</v>
      </c>
      <c r="BK37" s="523">
        <v>6.4556843601165703E-6</v>
      </c>
      <c r="BL37" s="523">
        <v>0</v>
      </c>
      <c r="BM37" s="523">
        <v>4.2277967264210399E-4</v>
      </c>
      <c r="BN37" s="528">
        <v>0.23971211082864199</v>
      </c>
    </row>
    <row r="38" spans="1:66">
      <c r="A38" s="522" t="s">
        <v>264</v>
      </c>
      <c r="B38" s="523">
        <v>2017</v>
      </c>
      <c r="C38" s="523" t="s">
        <v>154</v>
      </c>
      <c r="D38" s="523" t="s">
        <v>131</v>
      </c>
      <c r="E38" s="523" t="s">
        <v>131</v>
      </c>
      <c r="F38" s="523" t="s">
        <v>146</v>
      </c>
      <c r="G38" s="523">
        <v>59.604551073026897</v>
      </c>
      <c r="H38" s="526">
        <v>6204.9589288223497</v>
      </c>
      <c r="I38" s="523">
        <v>452.99458815500498</v>
      </c>
      <c r="J38" s="523">
        <v>2.3240086656302499E-3</v>
      </c>
      <c r="K38" s="523">
        <v>1.7264348193711201E-4</v>
      </c>
      <c r="L38" s="523">
        <v>0</v>
      </c>
      <c r="M38" s="523">
        <v>2.4966521475673601E-3</v>
      </c>
      <c r="N38" s="523">
        <v>0</v>
      </c>
      <c r="O38" s="523">
        <v>0</v>
      </c>
      <c r="P38" s="523">
        <v>0</v>
      </c>
      <c r="Q38" s="523">
        <v>0</v>
      </c>
      <c r="R38" s="523">
        <v>2.4966521475673601E-3</v>
      </c>
      <c r="S38" s="523">
        <v>2.6457069592854799E-3</v>
      </c>
      <c r="T38" s="523">
        <v>1.96541462341072E-4</v>
      </c>
      <c r="U38" s="523">
        <v>0</v>
      </c>
      <c r="V38" s="523">
        <v>2.84224842162656E-3</v>
      </c>
      <c r="W38" s="523">
        <v>0</v>
      </c>
      <c r="X38" s="523">
        <v>0</v>
      </c>
      <c r="Y38" s="523">
        <v>0</v>
      </c>
      <c r="Z38" s="523">
        <v>0</v>
      </c>
      <c r="AA38" s="523">
        <v>2.84224842162656E-3</v>
      </c>
      <c r="AB38" s="523">
        <v>7.2384290679291998E-3</v>
      </c>
      <c r="AC38" s="523">
        <v>1.5816548795311899E-3</v>
      </c>
      <c r="AD38" s="523">
        <v>0</v>
      </c>
      <c r="AE38" s="523">
        <v>8.8200839474603995E-3</v>
      </c>
      <c r="AF38" s="523">
        <v>4.6258636550881103E-2</v>
      </c>
      <c r="AG38" s="523">
        <v>3.3859913622653602E-3</v>
      </c>
      <c r="AH38" s="523">
        <v>4.1739723215295801E-4</v>
      </c>
      <c r="AI38" s="523">
        <v>5.0062025145299401E-2</v>
      </c>
      <c r="AJ38" s="523">
        <v>13.226938990736899</v>
      </c>
      <c r="AK38" s="523">
        <v>0.50638172320858199</v>
      </c>
      <c r="AL38" s="523">
        <v>0</v>
      </c>
      <c r="AM38" s="523">
        <v>13.733320713945499</v>
      </c>
      <c r="AN38" s="523">
        <v>1.07944183292038E-4</v>
      </c>
      <c r="AO38" s="523">
        <v>8.01884258608881E-6</v>
      </c>
      <c r="AP38" s="523">
        <v>0</v>
      </c>
      <c r="AQ38" s="523">
        <v>1.1596302587812699E-4</v>
      </c>
      <c r="AR38" s="523">
        <v>2.6532465990322603E-4</v>
      </c>
      <c r="AS38" s="523">
        <v>1.1534302785316599E-6</v>
      </c>
      <c r="AT38" s="523">
        <v>0</v>
      </c>
      <c r="AU38" s="523">
        <v>2.6647809018175698E-4</v>
      </c>
      <c r="AV38" s="523">
        <v>2.4623267079823698E-4</v>
      </c>
      <c r="AW38" s="523">
        <v>4.2228903041897702E-4</v>
      </c>
      <c r="AX38" s="523">
        <v>9.3499979139897201E-4</v>
      </c>
      <c r="AY38" s="523">
        <v>2.5384683256334802E-4</v>
      </c>
      <c r="AZ38" s="523">
        <v>1.1035333952551401E-6</v>
      </c>
      <c r="BA38" s="523">
        <v>0</v>
      </c>
      <c r="BB38" s="523">
        <v>2.5495036595860298E-4</v>
      </c>
      <c r="BC38" s="523">
        <v>6.1558167699559299E-5</v>
      </c>
      <c r="BD38" s="523">
        <v>1.8098101303670399E-4</v>
      </c>
      <c r="BE38" s="523">
        <v>4.9748954669486705E-4</v>
      </c>
      <c r="BF38" s="523">
        <v>1.2496156106515301E-4</v>
      </c>
      <c r="BG38" s="523">
        <v>4.7840434337318599E-6</v>
      </c>
      <c r="BH38" s="523">
        <v>0</v>
      </c>
      <c r="BI38" s="523">
        <v>1.2974560449888499E-4</v>
      </c>
      <c r="BJ38" s="523">
        <v>2.0790906133732398E-3</v>
      </c>
      <c r="BK38" s="523">
        <v>7.9596155107695895E-5</v>
      </c>
      <c r="BL38" s="523">
        <v>0</v>
      </c>
      <c r="BM38" s="523">
        <v>2.1586867684809398E-3</v>
      </c>
      <c r="BN38" s="528">
        <v>1.2239551600402301</v>
      </c>
    </row>
    <row r="39" spans="1:66">
      <c r="A39" s="522" t="s">
        <v>264</v>
      </c>
      <c r="B39" s="523">
        <v>2017</v>
      </c>
      <c r="C39" s="523" t="s">
        <v>153</v>
      </c>
      <c r="D39" s="523" t="s">
        <v>131</v>
      </c>
      <c r="E39" s="523" t="s">
        <v>131</v>
      </c>
      <c r="F39" s="523" t="s">
        <v>146</v>
      </c>
      <c r="G39" s="523">
        <v>299.49917253600199</v>
      </c>
      <c r="H39" s="526">
        <v>6048.7150240363999</v>
      </c>
      <c r="I39" s="523">
        <v>908.48082245072806</v>
      </c>
      <c r="J39" s="523">
        <v>1.17287661545112E-3</v>
      </c>
      <c r="K39" s="523">
        <v>3.7068031077765098E-4</v>
      </c>
      <c r="L39" s="523">
        <v>0</v>
      </c>
      <c r="M39" s="523">
        <v>1.5435569262287701E-3</v>
      </c>
      <c r="N39" s="523">
        <v>0</v>
      </c>
      <c r="O39" s="523">
        <v>0</v>
      </c>
      <c r="P39" s="523">
        <v>0</v>
      </c>
      <c r="Q39" s="523">
        <v>0</v>
      </c>
      <c r="R39" s="523">
        <v>1.5435569262287701E-3</v>
      </c>
      <c r="S39" s="523">
        <v>1.33523074581165E-3</v>
      </c>
      <c r="T39" s="523">
        <v>4.21991317157406E-4</v>
      </c>
      <c r="U39" s="523">
        <v>0</v>
      </c>
      <c r="V39" s="523">
        <v>1.75722206296906E-3</v>
      </c>
      <c r="W39" s="523">
        <v>0</v>
      </c>
      <c r="X39" s="523">
        <v>0</v>
      </c>
      <c r="Y39" s="523">
        <v>0</v>
      </c>
      <c r="Z39" s="523">
        <v>0</v>
      </c>
      <c r="AA39" s="523">
        <v>1.75722206296906E-3</v>
      </c>
      <c r="AB39" s="523">
        <v>3.6498965002206701E-3</v>
      </c>
      <c r="AC39" s="523">
        <v>2.3503620974731501E-3</v>
      </c>
      <c r="AD39" s="523">
        <v>0</v>
      </c>
      <c r="AE39" s="523">
        <v>6.0002585976938298E-3</v>
      </c>
      <c r="AF39" s="523">
        <v>9.6596394191077004E-2</v>
      </c>
      <c r="AG39" s="523">
        <v>1.4071581120753501E-2</v>
      </c>
      <c r="AH39" s="523">
        <v>1.1868800063615599E-3</v>
      </c>
      <c r="AI39" s="523">
        <v>0.111854855318192</v>
      </c>
      <c r="AJ39" s="523">
        <v>12.918353999341299</v>
      </c>
      <c r="AK39" s="523">
        <v>1.1386477308207299</v>
      </c>
      <c r="AL39" s="523">
        <v>0</v>
      </c>
      <c r="AM39" s="523">
        <v>14.057001730162</v>
      </c>
      <c r="AN39" s="523">
        <v>5.4477081015042901E-5</v>
      </c>
      <c r="AO39" s="523">
        <v>1.72171403665921E-5</v>
      </c>
      <c r="AP39" s="523">
        <v>0</v>
      </c>
      <c r="AQ39" s="523">
        <v>7.1694221381634997E-5</v>
      </c>
      <c r="AR39" s="523">
        <v>5.5145399155931104E-4</v>
      </c>
      <c r="AS39" s="523">
        <v>4.1639716390463199E-5</v>
      </c>
      <c r="AT39" s="523">
        <v>0</v>
      </c>
      <c r="AU39" s="523">
        <v>5.9309370794977405E-4</v>
      </c>
      <c r="AV39" s="523">
        <v>2.4003241155192901E-4</v>
      </c>
      <c r="AW39" s="523">
        <v>4.1165558581155901E-4</v>
      </c>
      <c r="AX39" s="523">
        <v>1.24478170531326E-3</v>
      </c>
      <c r="AY39" s="523">
        <v>5.2759833598883799E-4</v>
      </c>
      <c r="AZ39" s="523">
        <v>3.9838400691479298E-5</v>
      </c>
      <c r="BA39" s="523">
        <v>0</v>
      </c>
      <c r="BB39" s="523">
        <v>5.6743673668031695E-4</v>
      </c>
      <c r="BC39" s="523">
        <v>6.00081028879824E-5</v>
      </c>
      <c r="BD39" s="523">
        <v>1.7642382249066801E-4</v>
      </c>
      <c r="BE39" s="523">
        <v>8.0386866205896799E-4</v>
      </c>
      <c r="BF39" s="523">
        <v>1.2204620307695401E-4</v>
      </c>
      <c r="BG39" s="523">
        <v>1.07573791673417E-5</v>
      </c>
      <c r="BH39" s="523">
        <v>0</v>
      </c>
      <c r="BI39" s="523">
        <v>1.3280358224429601E-4</v>
      </c>
      <c r="BJ39" s="523">
        <v>2.0305853500248699E-3</v>
      </c>
      <c r="BK39" s="523">
        <v>1.78979566681757E-4</v>
      </c>
      <c r="BL39" s="523">
        <v>0</v>
      </c>
      <c r="BM39" s="523">
        <v>2.2095649167066301E-3</v>
      </c>
      <c r="BN39" s="528">
        <v>1.2528025931015601</v>
      </c>
    </row>
    <row r="40" spans="1:66">
      <c r="A40" s="522" t="s">
        <v>264</v>
      </c>
      <c r="B40" s="523">
        <v>2017</v>
      </c>
      <c r="C40" s="523" t="s">
        <v>152</v>
      </c>
      <c r="D40" s="523" t="s">
        <v>131</v>
      </c>
      <c r="E40" s="523" t="s">
        <v>131</v>
      </c>
      <c r="F40" s="523" t="s">
        <v>146</v>
      </c>
      <c r="G40" s="523">
        <v>272.11582077434201</v>
      </c>
      <c r="H40" s="526">
        <v>18855.220619165</v>
      </c>
      <c r="I40" s="523">
        <v>3140.17884431315</v>
      </c>
      <c r="J40" s="523">
        <v>9.8723494774702603E-3</v>
      </c>
      <c r="K40" s="523">
        <v>7.2461449564829004E-4</v>
      </c>
      <c r="L40" s="523">
        <v>0</v>
      </c>
      <c r="M40" s="523">
        <v>1.05969639731185E-2</v>
      </c>
      <c r="N40" s="523">
        <v>0</v>
      </c>
      <c r="O40" s="523">
        <v>0</v>
      </c>
      <c r="P40" s="523">
        <v>0</v>
      </c>
      <c r="Q40" s="523">
        <v>0</v>
      </c>
      <c r="R40" s="523">
        <v>1.05969639731185E-2</v>
      </c>
      <c r="S40" s="523">
        <v>1.12389183841352E-2</v>
      </c>
      <c r="T40" s="523">
        <v>8.2491844470636505E-4</v>
      </c>
      <c r="U40" s="523">
        <v>0</v>
      </c>
      <c r="V40" s="523">
        <v>1.2063836828841599E-2</v>
      </c>
      <c r="W40" s="523">
        <v>0</v>
      </c>
      <c r="X40" s="523">
        <v>0</v>
      </c>
      <c r="Y40" s="523">
        <v>0</v>
      </c>
      <c r="Z40" s="523">
        <v>0</v>
      </c>
      <c r="AA40" s="523">
        <v>1.2063836828841599E-2</v>
      </c>
      <c r="AB40" s="523">
        <v>3.1371097972818202E-2</v>
      </c>
      <c r="AC40" s="523">
        <v>5.8838781994037803E-3</v>
      </c>
      <c r="AD40" s="523">
        <v>0</v>
      </c>
      <c r="AE40" s="523">
        <v>3.7254976172222003E-2</v>
      </c>
      <c r="AF40" s="523">
        <v>0.156845320020844</v>
      </c>
      <c r="AG40" s="523">
        <v>9.6976062720325797E-3</v>
      </c>
      <c r="AH40" s="523">
        <v>5.1890128297161098E-3</v>
      </c>
      <c r="AI40" s="523">
        <v>0.17173193912259299</v>
      </c>
      <c r="AJ40" s="523">
        <v>34.667146581550597</v>
      </c>
      <c r="AK40" s="523">
        <v>1.2472818528604599</v>
      </c>
      <c r="AL40" s="523">
        <v>0</v>
      </c>
      <c r="AM40" s="523">
        <v>35.914428434411001</v>
      </c>
      <c r="AN40" s="523">
        <v>4.5854506365625202E-4</v>
      </c>
      <c r="AO40" s="523">
        <v>3.3656466557586901E-5</v>
      </c>
      <c r="AP40" s="523">
        <v>0</v>
      </c>
      <c r="AQ40" s="523">
        <v>4.9220153021383903E-4</v>
      </c>
      <c r="AR40" s="523">
        <v>4.2674774839452602E-3</v>
      </c>
      <c r="AS40" s="523">
        <v>5.6599004002483401E-5</v>
      </c>
      <c r="AT40" s="523">
        <v>0</v>
      </c>
      <c r="AU40" s="523">
        <v>4.32407648794774E-3</v>
      </c>
      <c r="AV40" s="523">
        <v>7.4823562650529402E-4</v>
      </c>
      <c r="AW40" s="523">
        <v>1.28322409945658E-3</v>
      </c>
      <c r="AX40" s="523">
        <v>6.3555362139096202E-3</v>
      </c>
      <c r="AY40" s="523">
        <v>4.0828682970140296E-3</v>
      </c>
      <c r="AZ40" s="523">
        <v>5.4150556143221097E-5</v>
      </c>
      <c r="BA40" s="523">
        <v>0</v>
      </c>
      <c r="BB40" s="523">
        <v>4.1370188531572498E-3</v>
      </c>
      <c r="BC40" s="523">
        <v>1.8705890662632299E-4</v>
      </c>
      <c r="BD40" s="523">
        <v>5.4995318548139104E-4</v>
      </c>
      <c r="BE40" s="523">
        <v>4.8740309452649597E-3</v>
      </c>
      <c r="BF40" s="523">
        <v>3.2751801135084101E-4</v>
      </c>
      <c r="BG40" s="523">
        <v>1.17837004866231E-5</v>
      </c>
      <c r="BH40" s="523">
        <v>0</v>
      </c>
      <c r="BI40" s="523">
        <v>3.39301711837464E-4</v>
      </c>
      <c r="BJ40" s="523">
        <v>5.4491926741789699E-3</v>
      </c>
      <c r="BK40" s="523">
        <v>1.96055337847181E-4</v>
      </c>
      <c r="BL40" s="523">
        <v>0</v>
      </c>
      <c r="BM40" s="523">
        <v>5.6452480120261503E-3</v>
      </c>
      <c r="BN40" s="528">
        <v>3.2008026986187201</v>
      </c>
    </row>
    <row r="41" spans="1:66">
      <c r="A41" s="522" t="s">
        <v>264</v>
      </c>
      <c r="B41" s="523">
        <v>2017</v>
      </c>
      <c r="C41" s="523" t="s">
        <v>151</v>
      </c>
      <c r="D41" s="523" t="s">
        <v>131</v>
      </c>
      <c r="E41" s="523" t="s">
        <v>131</v>
      </c>
      <c r="F41" s="523" t="s">
        <v>146</v>
      </c>
      <c r="G41" s="523">
        <v>40.728286394850599</v>
      </c>
      <c r="H41" s="526">
        <v>2729.6658268342198</v>
      </c>
      <c r="I41" s="523">
        <v>184.130999278985</v>
      </c>
      <c r="J41" s="523">
        <v>3.2002971424230399E-3</v>
      </c>
      <c r="K41" s="523">
        <v>9.4939931261906504E-5</v>
      </c>
      <c r="L41" s="523">
        <v>0</v>
      </c>
      <c r="M41" s="523">
        <v>3.29523707368495E-3</v>
      </c>
      <c r="N41" s="523">
        <v>0</v>
      </c>
      <c r="O41" s="523">
        <v>0</v>
      </c>
      <c r="P41" s="523">
        <v>0</v>
      </c>
      <c r="Q41" s="523">
        <v>0</v>
      </c>
      <c r="R41" s="523">
        <v>3.29523707368495E-3</v>
      </c>
      <c r="S41" s="523">
        <v>3.6432946859059601E-3</v>
      </c>
      <c r="T41" s="523">
        <v>1.08081884791764E-4</v>
      </c>
      <c r="U41" s="523">
        <v>0</v>
      </c>
      <c r="V41" s="523">
        <v>3.7513765706977198E-3</v>
      </c>
      <c r="W41" s="523">
        <v>0</v>
      </c>
      <c r="X41" s="523">
        <v>0</v>
      </c>
      <c r="Y41" s="523">
        <v>0</v>
      </c>
      <c r="Z41" s="523">
        <v>0</v>
      </c>
      <c r="AA41" s="523">
        <v>3.7513765706977198E-3</v>
      </c>
      <c r="AB41" s="523">
        <v>7.0973413100320999E-3</v>
      </c>
      <c r="AC41" s="523">
        <v>6.7278681513819997E-4</v>
      </c>
      <c r="AD41" s="523">
        <v>0</v>
      </c>
      <c r="AE41" s="523">
        <v>7.7701281251702998E-3</v>
      </c>
      <c r="AF41" s="523">
        <v>3.1580664231762499E-2</v>
      </c>
      <c r="AG41" s="523">
        <v>1.1962264581425401E-3</v>
      </c>
      <c r="AH41" s="523">
        <v>3.3510949941927801E-4</v>
      </c>
      <c r="AI41" s="523">
        <v>3.3112000189324302E-2</v>
      </c>
      <c r="AJ41" s="523">
        <v>5.8642990933527299</v>
      </c>
      <c r="AK41" s="523">
        <v>0.13420389229486199</v>
      </c>
      <c r="AL41" s="523">
        <v>0</v>
      </c>
      <c r="AM41" s="523">
        <v>5.9985029856475904</v>
      </c>
      <c r="AN41" s="523">
        <v>1.4864551343530101E-4</v>
      </c>
      <c r="AO41" s="523">
        <v>4.4097139108943399E-6</v>
      </c>
      <c r="AP41" s="523">
        <v>0</v>
      </c>
      <c r="AQ41" s="523">
        <v>1.5305522734619599E-4</v>
      </c>
      <c r="AR41" s="523">
        <v>9.8195333362263194E-4</v>
      </c>
      <c r="AS41" s="523">
        <v>9.55650984047304E-6</v>
      </c>
      <c r="AT41" s="523">
        <v>0</v>
      </c>
      <c r="AU41" s="523">
        <v>9.9150984346310493E-4</v>
      </c>
      <c r="AV41" s="523">
        <v>1.08321894574673E-4</v>
      </c>
      <c r="AW41" s="523">
        <v>1.85772049195564E-4</v>
      </c>
      <c r="AX41" s="523">
        <v>1.2856037872333399E-3</v>
      </c>
      <c r="AY41" s="523">
        <v>9.3947446707758899E-4</v>
      </c>
      <c r="AZ41" s="523">
        <v>9.1430994550199798E-6</v>
      </c>
      <c r="BA41" s="523">
        <v>0</v>
      </c>
      <c r="BB41" s="523">
        <v>9.4861756653260795E-4</v>
      </c>
      <c r="BC41" s="523">
        <v>2.7080473643668199E-5</v>
      </c>
      <c r="BD41" s="523">
        <v>7.9616592512384606E-5</v>
      </c>
      <c r="BE41" s="523">
        <v>1.05531463268866E-3</v>
      </c>
      <c r="BF41" s="523">
        <v>5.54029900471699E-5</v>
      </c>
      <c r="BG41" s="523">
        <v>1.2678918299941E-6</v>
      </c>
      <c r="BH41" s="523">
        <v>0</v>
      </c>
      <c r="BI41" s="523">
        <v>5.6670881877163997E-5</v>
      </c>
      <c r="BJ41" s="523">
        <v>9.2178615230186097E-4</v>
      </c>
      <c r="BK41" s="523">
        <v>2.1094982969514401E-5</v>
      </c>
      <c r="BL41" s="523">
        <v>0</v>
      </c>
      <c r="BM41" s="523">
        <v>9.4288113527137495E-4</v>
      </c>
      <c r="BN41" s="528">
        <v>0.534604764188226</v>
      </c>
    </row>
    <row r="42" spans="1:66">
      <c r="A42" s="522" t="s">
        <v>264</v>
      </c>
      <c r="B42" s="523">
        <v>2017</v>
      </c>
      <c r="C42" s="523" t="s">
        <v>150</v>
      </c>
      <c r="D42" s="523" t="s">
        <v>131</v>
      </c>
      <c r="E42" s="523" t="s">
        <v>131</v>
      </c>
      <c r="F42" s="523" t="s">
        <v>146</v>
      </c>
      <c r="G42" s="523">
        <v>176.56333807426901</v>
      </c>
      <c r="H42" s="526">
        <v>7214.0919181478503</v>
      </c>
      <c r="I42" s="523">
        <v>688.59701848964903</v>
      </c>
      <c r="J42" s="523">
        <v>3.63681312377815E-4</v>
      </c>
      <c r="K42" s="523">
        <v>2.47186730952431E-4</v>
      </c>
      <c r="L42" s="523">
        <v>0</v>
      </c>
      <c r="M42" s="523">
        <v>6.1086804333024703E-4</v>
      </c>
      <c r="N42" s="523">
        <v>0</v>
      </c>
      <c r="O42" s="523">
        <v>0</v>
      </c>
      <c r="P42" s="523">
        <v>0</v>
      </c>
      <c r="Q42" s="523">
        <v>0</v>
      </c>
      <c r="R42" s="523">
        <v>6.1086804333024703E-4</v>
      </c>
      <c r="S42" s="523">
        <v>4.1402349025197098E-4</v>
      </c>
      <c r="T42" s="523">
        <v>2.8140327701683498E-4</v>
      </c>
      <c r="U42" s="523">
        <v>0</v>
      </c>
      <c r="V42" s="523">
        <v>6.9542676726880705E-4</v>
      </c>
      <c r="W42" s="523">
        <v>0</v>
      </c>
      <c r="X42" s="523">
        <v>0</v>
      </c>
      <c r="Y42" s="523">
        <v>0</v>
      </c>
      <c r="Z42" s="523">
        <v>0</v>
      </c>
      <c r="AA42" s="523">
        <v>6.9542676726880705E-4</v>
      </c>
      <c r="AB42" s="523">
        <v>1.0260587503594699E-3</v>
      </c>
      <c r="AC42" s="523">
        <v>1.3391707662642699E-3</v>
      </c>
      <c r="AD42" s="523">
        <v>0</v>
      </c>
      <c r="AE42" s="523">
        <v>2.3652295166237498E-3</v>
      </c>
      <c r="AF42" s="523">
        <v>7.9254759796625496E-2</v>
      </c>
      <c r="AG42" s="523">
        <v>9.0435135936829496E-3</v>
      </c>
      <c r="AH42" s="523">
        <v>3.7352938591789703E-4</v>
      </c>
      <c r="AI42" s="523">
        <v>8.8671802776226299E-2</v>
      </c>
      <c r="AJ42" s="523">
        <v>34.370199508545603</v>
      </c>
      <c r="AK42" s="523">
        <v>0.91092810633469901</v>
      </c>
      <c r="AL42" s="523">
        <v>0</v>
      </c>
      <c r="AM42" s="523">
        <v>35.281127614880297</v>
      </c>
      <c r="AN42" s="523">
        <v>1.68920550184582E-5</v>
      </c>
      <c r="AO42" s="523">
        <v>1.14811834344227E-5</v>
      </c>
      <c r="AP42" s="523">
        <v>0</v>
      </c>
      <c r="AQ42" s="523">
        <v>2.8373238452880899E-5</v>
      </c>
      <c r="AR42" s="523">
        <v>8.0492512278928493E-5</v>
      </c>
      <c r="AS42" s="523">
        <v>8.7249459892248694E-6</v>
      </c>
      <c r="AT42" s="523">
        <v>0</v>
      </c>
      <c r="AU42" s="523">
        <v>8.9217458268153402E-5</v>
      </c>
      <c r="AV42" s="523">
        <v>2.86278304299213E-4</v>
      </c>
      <c r="AW42" s="523">
        <v>4.90967291873151E-4</v>
      </c>
      <c r="AX42" s="523">
        <v>8.66463054440518E-4</v>
      </c>
      <c r="AY42" s="523">
        <v>7.7010441828230397E-5</v>
      </c>
      <c r="AZ42" s="523">
        <v>8.3475086878801299E-6</v>
      </c>
      <c r="BA42" s="523">
        <v>0</v>
      </c>
      <c r="BB42" s="523">
        <v>8.5357950516110498E-5</v>
      </c>
      <c r="BC42" s="523">
        <v>7.1569576074803303E-5</v>
      </c>
      <c r="BD42" s="523">
        <v>2.1041455365992099E-4</v>
      </c>
      <c r="BE42" s="523">
        <v>3.67342080250835E-4</v>
      </c>
      <c r="BF42" s="523">
        <v>3.24712602644986E-4</v>
      </c>
      <c r="BG42" s="523">
        <v>8.6059970689685705E-6</v>
      </c>
      <c r="BH42" s="523">
        <v>0</v>
      </c>
      <c r="BI42" s="523">
        <v>3.3331859971395399E-4</v>
      </c>
      <c r="BJ42" s="523">
        <v>5.4025167295340699E-3</v>
      </c>
      <c r="BK42" s="523">
        <v>1.4318521289503601E-4</v>
      </c>
      <c r="BL42" s="523">
        <v>0</v>
      </c>
      <c r="BM42" s="523">
        <v>5.5457019424291001E-3</v>
      </c>
      <c r="BN42" s="528">
        <v>3.1443610104015902</v>
      </c>
    </row>
    <row r="43" spans="1:66">
      <c r="A43" s="522" t="s">
        <v>264</v>
      </c>
      <c r="B43" s="523">
        <v>2017</v>
      </c>
      <c r="C43" s="523" t="s">
        <v>149</v>
      </c>
      <c r="D43" s="523" t="s">
        <v>131</v>
      </c>
      <c r="E43" s="523" t="s">
        <v>131</v>
      </c>
      <c r="F43" s="523" t="s">
        <v>146</v>
      </c>
      <c r="G43" s="523">
        <v>144.97565485722299</v>
      </c>
      <c r="H43" s="526">
        <v>20838.2448614442</v>
      </c>
      <c r="I43" s="523">
        <v>1841.1908166867399</v>
      </c>
      <c r="J43" s="523">
        <v>7.0120880727739896E-3</v>
      </c>
      <c r="K43" s="523">
        <v>3.0905683027302198E-4</v>
      </c>
      <c r="L43" s="523">
        <v>0</v>
      </c>
      <c r="M43" s="523">
        <v>7.3211449030470103E-3</v>
      </c>
      <c r="N43" s="523">
        <v>0</v>
      </c>
      <c r="O43" s="523">
        <v>0</v>
      </c>
      <c r="P43" s="523">
        <v>0</v>
      </c>
      <c r="Q43" s="523">
        <v>0</v>
      </c>
      <c r="R43" s="523">
        <v>7.3211449030470103E-3</v>
      </c>
      <c r="S43" s="523">
        <v>7.9827285016726597E-3</v>
      </c>
      <c r="T43" s="523">
        <v>3.5183767546163701E-4</v>
      </c>
      <c r="U43" s="523">
        <v>0</v>
      </c>
      <c r="V43" s="523">
        <v>8.3345661771343001E-3</v>
      </c>
      <c r="W43" s="523">
        <v>0</v>
      </c>
      <c r="X43" s="523">
        <v>0</v>
      </c>
      <c r="Y43" s="523">
        <v>0</v>
      </c>
      <c r="Z43" s="523">
        <v>0</v>
      </c>
      <c r="AA43" s="523">
        <v>8.3345661771343001E-3</v>
      </c>
      <c r="AB43" s="523">
        <v>2.4539169238967599E-2</v>
      </c>
      <c r="AC43" s="523">
        <v>2.8182086562803799E-3</v>
      </c>
      <c r="AD43" s="523">
        <v>0</v>
      </c>
      <c r="AE43" s="523">
        <v>2.7357377895247999E-2</v>
      </c>
      <c r="AF43" s="523">
        <v>0.15212734510981099</v>
      </c>
      <c r="AG43" s="523">
        <v>4.7031505389111298E-3</v>
      </c>
      <c r="AH43" s="523">
        <v>1.7442792503411901E-3</v>
      </c>
      <c r="AI43" s="523">
        <v>0.15857477489906399</v>
      </c>
      <c r="AJ43" s="523">
        <v>34.095246768686003</v>
      </c>
      <c r="AK43" s="523">
        <v>0.65002682579514603</v>
      </c>
      <c r="AL43" s="523">
        <v>0</v>
      </c>
      <c r="AM43" s="523">
        <v>34.745273594481098</v>
      </c>
      <c r="AN43" s="523">
        <v>3.2569332953935398E-4</v>
      </c>
      <c r="AO43" s="523">
        <v>1.43548893031344E-5</v>
      </c>
      <c r="AP43" s="523">
        <v>0</v>
      </c>
      <c r="AQ43" s="523">
        <v>3.4004821884248902E-4</v>
      </c>
      <c r="AR43" s="523">
        <v>3.8432813066092198E-3</v>
      </c>
      <c r="AS43" s="523">
        <v>1.7367857805859702E-5</v>
      </c>
      <c r="AT43" s="523">
        <v>0</v>
      </c>
      <c r="AU43" s="523">
        <v>3.86064916441507E-3</v>
      </c>
      <c r="AV43" s="523">
        <v>8.2692838838095098E-4</v>
      </c>
      <c r="AW43" s="523">
        <v>1.41818218607333E-3</v>
      </c>
      <c r="AX43" s="523">
        <v>6.1057597388693603E-3</v>
      </c>
      <c r="AY43" s="523">
        <v>3.6770226585365801E-3</v>
      </c>
      <c r="AZ43" s="523">
        <v>1.6616531965163598E-5</v>
      </c>
      <c r="BA43" s="523">
        <v>0</v>
      </c>
      <c r="BB43" s="523">
        <v>3.6936391905017401E-3</v>
      </c>
      <c r="BC43" s="523">
        <v>2.0673209709523699E-4</v>
      </c>
      <c r="BD43" s="523">
        <v>6.0779236545999897E-4</v>
      </c>
      <c r="BE43" s="523">
        <v>4.5081636530569799E-3</v>
      </c>
      <c r="BF43" s="523">
        <v>3.22114985492895E-4</v>
      </c>
      <c r="BG43" s="523">
        <v>6.1411311371795E-6</v>
      </c>
      <c r="BH43" s="523">
        <v>0</v>
      </c>
      <c r="BI43" s="523">
        <v>3.28256116630074E-4</v>
      </c>
      <c r="BJ43" s="523">
        <v>5.3592979877704703E-3</v>
      </c>
      <c r="BK43" s="523">
        <v>1.0217516485847099E-4</v>
      </c>
      <c r="BL43" s="523">
        <v>0</v>
      </c>
      <c r="BM43" s="523">
        <v>5.4614731526289404E-3</v>
      </c>
      <c r="BN43" s="528">
        <v>3.0966040762297999</v>
      </c>
    </row>
    <row r="44" spans="1:66">
      <c r="A44" s="522" t="s">
        <v>264</v>
      </c>
      <c r="B44" s="523">
        <v>2017</v>
      </c>
      <c r="C44" s="523" t="s">
        <v>148</v>
      </c>
      <c r="D44" s="523" t="s">
        <v>131</v>
      </c>
      <c r="E44" s="523" t="s">
        <v>131</v>
      </c>
      <c r="F44" s="523" t="s">
        <v>146</v>
      </c>
      <c r="G44" s="523">
        <v>32.250294452577201</v>
      </c>
      <c r="H44" s="526">
        <v>2251.7339851255301</v>
      </c>
      <c r="I44" s="523">
        <v>145.80232733153599</v>
      </c>
      <c r="J44" s="523">
        <v>2.6587309019996301E-3</v>
      </c>
      <c r="K44" s="523">
        <v>6.5923529655622894E-5</v>
      </c>
      <c r="L44" s="523">
        <v>0</v>
      </c>
      <c r="M44" s="523">
        <v>2.7246544316552501E-3</v>
      </c>
      <c r="N44" s="523">
        <v>0</v>
      </c>
      <c r="O44" s="523">
        <v>0</v>
      </c>
      <c r="P44" s="523">
        <v>0</v>
      </c>
      <c r="Q44" s="523">
        <v>0</v>
      </c>
      <c r="R44" s="523">
        <v>2.7246544316552501E-3</v>
      </c>
      <c r="S44" s="523">
        <v>3.0267627459040301E-3</v>
      </c>
      <c r="T44" s="523">
        <v>7.5048920328894207E-5</v>
      </c>
      <c r="U44" s="523">
        <v>0</v>
      </c>
      <c r="V44" s="523">
        <v>3.1018116662329298E-3</v>
      </c>
      <c r="W44" s="523">
        <v>0</v>
      </c>
      <c r="X44" s="523">
        <v>0</v>
      </c>
      <c r="Y44" s="523">
        <v>0</v>
      </c>
      <c r="Z44" s="523">
        <v>0</v>
      </c>
      <c r="AA44" s="523">
        <v>3.1018116662329298E-3</v>
      </c>
      <c r="AB44" s="523">
        <v>5.9299271605904504E-3</v>
      </c>
      <c r="AC44" s="523">
        <v>5.5165246655286798E-4</v>
      </c>
      <c r="AD44" s="523">
        <v>0</v>
      </c>
      <c r="AE44" s="523">
        <v>6.4815796271433202E-3</v>
      </c>
      <c r="AF44" s="523">
        <v>2.4383960230896101E-2</v>
      </c>
      <c r="AG44" s="523">
        <v>9.5389449335467997E-4</v>
      </c>
      <c r="AH44" s="523">
        <v>3.2184272525771101E-4</v>
      </c>
      <c r="AI44" s="523">
        <v>2.5659697449508499E-2</v>
      </c>
      <c r="AJ44" s="523">
        <v>4.8674370610670596</v>
      </c>
      <c r="AK44" s="523">
        <v>0.12468769128287099</v>
      </c>
      <c r="AL44" s="523">
        <v>0</v>
      </c>
      <c r="AM44" s="523">
        <v>4.9921247523499304</v>
      </c>
      <c r="AN44" s="523">
        <v>1.2349116423446E-4</v>
      </c>
      <c r="AO44" s="523">
        <v>3.0619772093125301E-6</v>
      </c>
      <c r="AP44" s="523">
        <v>0</v>
      </c>
      <c r="AQ44" s="523">
        <v>1.2655314144377201E-4</v>
      </c>
      <c r="AR44" s="523">
        <v>6.5678583959103603E-4</v>
      </c>
      <c r="AS44" s="523">
        <v>4.5552333812912996E-6</v>
      </c>
      <c r="AT44" s="523">
        <v>0</v>
      </c>
      <c r="AU44" s="523">
        <v>6.6134107297232704E-4</v>
      </c>
      <c r="AV44" s="523">
        <v>8.9356026275882094E-5</v>
      </c>
      <c r="AW44" s="523">
        <v>1.53245585063137E-4</v>
      </c>
      <c r="AX44" s="523">
        <v>9.0394268431134698E-4</v>
      </c>
      <c r="AY44" s="523">
        <v>6.2837357490047802E-4</v>
      </c>
      <c r="AZ44" s="523">
        <v>4.3581760016177298E-6</v>
      </c>
      <c r="BA44" s="523">
        <v>0</v>
      </c>
      <c r="BB44" s="523">
        <v>6.3273175090209504E-4</v>
      </c>
      <c r="BC44" s="523">
        <v>2.23390065689705E-5</v>
      </c>
      <c r="BD44" s="523">
        <v>6.5676679312773296E-5</v>
      </c>
      <c r="BE44" s="523">
        <v>7.2074743678383901E-4</v>
      </c>
      <c r="BF44" s="523">
        <v>4.5985131855774503E-5</v>
      </c>
      <c r="BG44" s="523">
        <v>1.17798748139908E-6</v>
      </c>
      <c r="BH44" s="523">
        <v>0</v>
      </c>
      <c r="BI44" s="523">
        <v>4.7163119337173602E-5</v>
      </c>
      <c r="BJ44" s="523">
        <v>7.6509332294771003E-4</v>
      </c>
      <c r="BK44" s="523">
        <v>1.95991686913311E-5</v>
      </c>
      <c r="BL44" s="523">
        <v>0</v>
      </c>
      <c r="BM44" s="523">
        <v>7.8469249163904103E-4</v>
      </c>
      <c r="BN44" s="528">
        <v>0.44491328626722698</v>
      </c>
    </row>
    <row r="45" spans="1:66">
      <c r="A45" s="522" t="s">
        <v>264</v>
      </c>
      <c r="B45" s="523">
        <v>2017</v>
      </c>
      <c r="C45" s="523" t="s">
        <v>147</v>
      </c>
      <c r="D45" s="523" t="s">
        <v>131</v>
      </c>
      <c r="E45" s="523" t="s">
        <v>131</v>
      </c>
      <c r="F45" s="523" t="s">
        <v>146</v>
      </c>
      <c r="G45" s="523">
        <v>4.9411957021164898</v>
      </c>
      <c r="H45" s="526">
        <v>100.25113954339901</v>
      </c>
      <c r="I45" s="523">
        <v>56.823750574339599</v>
      </c>
      <c r="J45" s="523">
        <v>9.1939532713966003E-6</v>
      </c>
      <c r="K45" s="523">
        <v>3.1548092709102701E-6</v>
      </c>
      <c r="L45" s="523">
        <v>0</v>
      </c>
      <c r="M45" s="523">
        <v>1.2348762542306801E-5</v>
      </c>
      <c r="N45" s="523">
        <v>0</v>
      </c>
      <c r="O45" s="523">
        <v>0</v>
      </c>
      <c r="P45" s="523">
        <v>0</v>
      </c>
      <c r="Q45" s="523">
        <v>0</v>
      </c>
      <c r="R45" s="523">
        <v>1.2348762542306801E-5</v>
      </c>
      <c r="S45" s="523">
        <v>1.0466615943913799E-5</v>
      </c>
      <c r="T45" s="523">
        <v>3.5915102067840601E-6</v>
      </c>
      <c r="U45" s="523">
        <v>0</v>
      </c>
      <c r="V45" s="523">
        <v>1.40581261506979E-5</v>
      </c>
      <c r="W45" s="523">
        <v>0</v>
      </c>
      <c r="X45" s="523">
        <v>0</v>
      </c>
      <c r="Y45" s="523">
        <v>0</v>
      </c>
      <c r="Z45" s="523">
        <v>0</v>
      </c>
      <c r="AA45" s="523">
        <v>1.40581261506979E-5</v>
      </c>
      <c r="AB45" s="523">
        <v>3.4625743354012203E-5</v>
      </c>
      <c r="AC45" s="523">
        <v>3.4955107736191699E-5</v>
      </c>
      <c r="AD45" s="523">
        <v>0</v>
      </c>
      <c r="AE45" s="523">
        <v>6.9580851090204004E-5</v>
      </c>
      <c r="AF45" s="523">
        <v>5.8424843962826098E-4</v>
      </c>
      <c r="AG45" s="523">
        <v>8.1216676530282306E-5</v>
      </c>
      <c r="AH45" s="523">
        <v>1.20282825683527E-4</v>
      </c>
      <c r="AI45" s="523">
        <v>7.8574794184207097E-4</v>
      </c>
      <c r="AJ45" s="523">
        <v>0.19425246261557599</v>
      </c>
      <c r="AK45" s="523">
        <v>9.8998817264880998E-3</v>
      </c>
      <c r="AL45" s="523">
        <v>0</v>
      </c>
      <c r="AM45" s="523">
        <v>0.204152344342064</v>
      </c>
      <c r="AN45" s="523">
        <v>4.2703531694316102E-7</v>
      </c>
      <c r="AO45" s="523">
        <v>1.46532719617982E-7</v>
      </c>
      <c r="AP45" s="523">
        <v>0</v>
      </c>
      <c r="AQ45" s="523">
        <v>5.7356803656114301E-7</v>
      </c>
      <c r="AR45" s="523">
        <v>2.2280521437084698E-6</v>
      </c>
      <c r="AS45" s="523">
        <v>6.1337572369938595E-8</v>
      </c>
      <c r="AT45" s="523">
        <v>0</v>
      </c>
      <c r="AU45" s="523">
        <v>2.2893897160784099E-6</v>
      </c>
      <c r="AV45" s="523">
        <v>3.9782867418629298E-6</v>
      </c>
      <c r="AW45" s="523">
        <v>6.8227617622949302E-6</v>
      </c>
      <c r="AX45" s="523">
        <v>1.30904382202362E-5</v>
      </c>
      <c r="AY45" s="523">
        <v>2.13166759423215E-6</v>
      </c>
      <c r="AZ45" s="523">
        <v>5.86841361406555E-8</v>
      </c>
      <c r="BA45" s="523">
        <v>0</v>
      </c>
      <c r="BB45" s="523">
        <v>2.1903517303727998E-6</v>
      </c>
      <c r="BC45" s="523">
        <v>9.9457168546573393E-7</v>
      </c>
      <c r="BD45" s="523">
        <v>2.9240407552692502E-6</v>
      </c>
      <c r="BE45" s="523">
        <v>6.1089641711077901E-6</v>
      </c>
      <c r="BF45" s="523">
        <v>1.8352009475655899E-6</v>
      </c>
      <c r="BG45" s="523">
        <v>9.3529173739192996E-8</v>
      </c>
      <c r="BH45" s="523">
        <v>0</v>
      </c>
      <c r="BI45" s="523">
        <v>1.92873012130478E-6</v>
      </c>
      <c r="BJ45" s="523">
        <v>3.0533781998353198E-5</v>
      </c>
      <c r="BK45" s="523">
        <v>1.55612354343368E-6</v>
      </c>
      <c r="BL45" s="523">
        <v>0</v>
      </c>
      <c r="BM45" s="523">
        <v>3.2089905541786898E-5</v>
      </c>
      <c r="BN45" s="528">
        <v>1.8194675599328702E-2</v>
      </c>
    </row>
    <row r="46" spans="1:66">
      <c r="A46" s="522" t="s">
        <v>264</v>
      </c>
      <c r="B46" s="523">
        <v>2017</v>
      </c>
      <c r="C46" s="523" t="s">
        <v>132</v>
      </c>
      <c r="D46" s="523" t="s">
        <v>131</v>
      </c>
      <c r="E46" s="523" t="s">
        <v>131</v>
      </c>
      <c r="F46" s="523" t="s">
        <v>146</v>
      </c>
      <c r="G46" s="523">
        <v>315.77578307345402</v>
      </c>
      <c r="H46" s="526">
        <v>24965.6897526621</v>
      </c>
      <c r="I46" s="523">
        <v>1263.1031322938099</v>
      </c>
      <c r="J46" s="523">
        <v>1.49129907922809E-4</v>
      </c>
      <c r="K46" s="523">
        <v>0</v>
      </c>
      <c r="L46" s="523">
        <v>0</v>
      </c>
      <c r="M46" s="523">
        <v>1.49129907922809E-4</v>
      </c>
      <c r="N46" s="523">
        <v>0</v>
      </c>
      <c r="O46" s="523">
        <v>0</v>
      </c>
      <c r="P46" s="523">
        <v>0</v>
      </c>
      <c r="Q46" s="523">
        <v>0</v>
      </c>
      <c r="R46" s="523">
        <v>1.49129907922809E-4</v>
      </c>
      <c r="S46" s="523">
        <v>6.7754280344090104E-3</v>
      </c>
      <c r="T46" s="523">
        <v>0</v>
      </c>
      <c r="U46" s="523">
        <v>0</v>
      </c>
      <c r="V46" s="523">
        <v>6.7754280344090104E-3</v>
      </c>
      <c r="W46" s="523">
        <v>0</v>
      </c>
      <c r="X46" s="523">
        <v>0</v>
      </c>
      <c r="Y46" s="523">
        <v>0</v>
      </c>
      <c r="Z46" s="523">
        <v>0</v>
      </c>
      <c r="AA46" s="523">
        <v>6.7754280344090104E-3</v>
      </c>
      <c r="AB46" s="523">
        <v>1.5123369707491801E-2</v>
      </c>
      <c r="AC46" s="523">
        <v>0</v>
      </c>
      <c r="AD46" s="523">
        <v>0</v>
      </c>
      <c r="AE46" s="523">
        <v>1.5123369707491801E-2</v>
      </c>
      <c r="AF46" s="523">
        <v>0.14603558045697301</v>
      </c>
      <c r="AG46" s="523">
        <v>0</v>
      </c>
      <c r="AH46" s="523">
        <v>0</v>
      </c>
      <c r="AI46" s="523">
        <v>0.14603558045697301</v>
      </c>
      <c r="AJ46" s="523">
        <v>50.3305331093622</v>
      </c>
      <c r="AK46" s="523">
        <v>0</v>
      </c>
      <c r="AL46" s="523">
        <v>0</v>
      </c>
      <c r="AM46" s="523">
        <v>50.3305331093622</v>
      </c>
      <c r="AN46" s="523">
        <v>6.5772603645712297E-3</v>
      </c>
      <c r="AO46" s="523">
        <v>0</v>
      </c>
      <c r="AP46" s="523">
        <v>0</v>
      </c>
      <c r="AQ46" s="523">
        <v>6.5772603645712297E-3</v>
      </c>
      <c r="AR46" s="523">
        <v>2.5803298688727801E-4</v>
      </c>
      <c r="AS46" s="523">
        <v>0</v>
      </c>
      <c r="AT46" s="523">
        <v>0</v>
      </c>
      <c r="AU46" s="523">
        <v>2.5803298688727801E-4</v>
      </c>
      <c r="AV46" s="523">
        <v>8.7260070244736705E-4</v>
      </c>
      <c r="AW46" s="523">
        <v>2.0367043473652098E-3</v>
      </c>
      <c r="AX46" s="523">
        <v>3.1673380366998602E-3</v>
      </c>
      <c r="AY46" s="523">
        <v>2.4687059409436799E-4</v>
      </c>
      <c r="AZ46" s="523">
        <v>0</v>
      </c>
      <c r="BA46" s="523">
        <v>0</v>
      </c>
      <c r="BB46" s="523">
        <v>2.4687059409436799E-4</v>
      </c>
      <c r="BC46" s="523">
        <v>2.18150175611841E-4</v>
      </c>
      <c r="BD46" s="523">
        <v>8.7287329172795096E-4</v>
      </c>
      <c r="BE46" s="523">
        <v>1.3378940614341599E-3</v>
      </c>
      <c r="BF46" s="523">
        <v>4.75804537835015E-4</v>
      </c>
      <c r="BG46" s="523">
        <v>0</v>
      </c>
      <c r="BH46" s="523">
        <v>0</v>
      </c>
      <c r="BI46" s="523">
        <v>4.75804537835015E-4</v>
      </c>
      <c r="BJ46" s="523">
        <v>7.9112589108506891E-3</v>
      </c>
      <c r="BK46" s="523">
        <v>0</v>
      </c>
      <c r="BL46" s="523">
        <v>0</v>
      </c>
      <c r="BM46" s="523">
        <v>7.9112589108506891E-3</v>
      </c>
      <c r="BN46" s="528">
        <v>4.48560963440005</v>
      </c>
    </row>
    <row r="47" spans="1:66">
      <c r="A47" s="522" t="s">
        <v>264</v>
      </c>
      <c r="B47" s="523">
        <v>2017</v>
      </c>
      <c r="C47" s="523" t="s">
        <v>144</v>
      </c>
      <c r="D47" s="523" t="s">
        <v>131</v>
      </c>
      <c r="E47" s="523" t="s">
        <v>131</v>
      </c>
      <c r="F47" s="523" t="s">
        <v>145</v>
      </c>
      <c r="G47" s="523">
        <v>4565.4506055020602</v>
      </c>
      <c r="H47" s="526">
        <v>163612.83899057799</v>
      </c>
      <c r="I47" s="523">
        <v>23095.807953415901</v>
      </c>
      <c r="J47" s="523">
        <v>0</v>
      </c>
      <c r="K47" s="523">
        <v>0</v>
      </c>
      <c r="L47" s="523">
        <v>0</v>
      </c>
      <c r="M47" s="523">
        <v>0</v>
      </c>
      <c r="N47" s="523">
        <v>6.04031211483288E-5</v>
      </c>
      <c r="O47" s="523">
        <v>1.2444310222037099E-4</v>
      </c>
      <c r="P47" s="523">
        <v>0</v>
      </c>
      <c r="Q47" s="523">
        <v>1.5740538766976201E-5</v>
      </c>
      <c r="R47" s="523">
        <v>2.0058676213567599E-4</v>
      </c>
      <c r="S47" s="523">
        <v>0</v>
      </c>
      <c r="T47" s="523">
        <v>0</v>
      </c>
      <c r="U47" s="523">
        <v>0</v>
      </c>
      <c r="V47" s="523">
        <v>0</v>
      </c>
      <c r="W47" s="523">
        <v>6.04031211483288E-5</v>
      </c>
      <c r="X47" s="523">
        <v>1.24443102220319E-4</v>
      </c>
      <c r="Y47" s="523">
        <v>0</v>
      </c>
      <c r="Z47" s="523">
        <v>1.5740538766976201E-5</v>
      </c>
      <c r="AA47" s="523">
        <v>2.00586762135625E-4</v>
      </c>
      <c r="AB47" s="523">
        <v>0</v>
      </c>
      <c r="AC47" s="523">
        <v>0</v>
      </c>
      <c r="AD47" s="523">
        <v>0</v>
      </c>
      <c r="AE47" s="523">
        <v>0</v>
      </c>
      <c r="AF47" s="523">
        <v>0</v>
      </c>
      <c r="AG47" s="523">
        <v>0</v>
      </c>
      <c r="AH47" s="523">
        <v>0</v>
      </c>
      <c r="AI47" s="523">
        <v>0</v>
      </c>
      <c r="AJ47" s="523">
        <v>0</v>
      </c>
      <c r="AK47" s="523">
        <v>0</v>
      </c>
      <c r="AL47" s="523">
        <v>0</v>
      </c>
      <c r="AM47" s="523">
        <v>0</v>
      </c>
      <c r="AN47" s="523">
        <v>0</v>
      </c>
      <c r="AO47" s="523">
        <v>0</v>
      </c>
      <c r="AP47" s="523">
        <v>0</v>
      </c>
      <c r="AQ47" s="523">
        <v>0</v>
      </c>
      <c r="AR47" s="523">
        <v>0</v>
      </c>
      <c r="AS47" s="523">
        <v>0</v>
      </c>
      <c r="AT47" s="523">
        <v>0</v>
      </c>
      <c r="AU47" s="523">
        <v>0</v>
      </c>
      <c r="AV47" s="523">
        <v>1.4428182642541199E-3</v>
      </c>
      <c r="AW47" s="523">
        <v>6.6279464014173898E-3</v>
      </c>
      <c r="AX47" s="523">
        <v>8.0707646656715103E-3</v>
      </c>
      <c r="AY47" s="523">
        <v>0</v>
      </c>
      <c r="AZ47" s="523">
        <v>0</v>
      </c>
      <c r="BA47" s="523">
        <v>0</v>
      </c>
      <c r="BB47" s="523">
        <v>0</v>
      </c>
      <c r="BC47" s="523">
        <v>3.60704566063531E-4</v>
      </c>
      <c r="BD47" s="523">
        <v>2.8405484577503099E-3</v>
      </c>
      <c r="BE47" s="523">
        <v>3.20125302381384E-3</v>
      </c>
      <c r="BF47" s="523">
        <v>0</v>
      </c>
      <c r="BG47" s="523">
        <v>0</v>
      </c>
      <c r="BH47" s="523">
        <v>0</v>
      </c>
      <c r="BI47" s="523">
        <v>0</v>
      </c>
      <c r="BJ47" s="523">
        <v>0</v>
      </c>
      <c r="BK47" s="523">
        <v>0</v>
      </c>
      <c r="BL47" s="523">
        <v>0</v>
      </c>
      <c r="BM47" s="523">
        <v>0</v>
      </c>
      <c r="BN47" s="528">
        <v>0</v>
      </c>
    </row>
    <row r="48" spans="1:66">
      <c r="A48" s="522" t="s">
        <v>264</v>
      </c>
      <c r="B48" s="523">
        <v>2017</v>
      </c>
      <c r="C48" s="523" t="s">
        <v>143</v>
      </c>
      <c r="D48" s="523" t="s">
        <v>131</v>
      </c>
      <c r="E48" s="523" t="s">
        <v>131</v>
      </c>
      <c r="F48" s="523" t="s">
        <v>145</v>
      </c>
      <c r="G48" s="523">
        <v>78.210451783876195</v>
      </c>
      <c r="H48" s="526">
        <v>2600.5347829193702</v>
      </c>
      <c r="I48" s="523">
        <v>385.83280969278599</v>
      </c>
      <c r="J48" s="523">
        <v>0</v>
      </c>
      <c r="K48" s="523">
        <v>0</v>
      </c>
      <c r="L48" s="523">
        <v>0</v>
      </c>
      <c r="M48" s="523">
        <v>0</v>
      </c>
      <c r="N48" s="523">
        <v>1.03476213026457E-6</v>
      </c>
      <c r="O48" s="523">
        <v>2.0789154409933001E-6</v>
      </c>
      <c r="P48" s="523">
        <v>0</v>
      </c>
      <c r="Q48" s="523">
        <v>2.6965019549290399E-7</v>
      </c>
      <c r="R48" s="523">
        <v>3.3833277667507799E-6</v>
      </c>
      <c r="S48" s="523">
        <v>0</v>
      </c>
      <c r="T48" s="523">
        <v>0</v>
      </c>
      <c r="U48" s="523">
        <v>0</v>
      </c>
      <c r="V48" s="523">
        <v>0</v>
      </c>
      <c r="W48" s="523">
        <v>1.03476213026457E-6</v>
      </c>
      <c r="X48" s="523">
        <v>2.0789154409924501E-6</v>
      </c>
      <c r="Y48" s="523">
        <v>0</v>
      </c>
      <c r="Z48" s="523">
        <v>2.6965019549290399E-7</v>
      </c>
      <c r="AA48" s="523">
        <v>3.3833277667499202E-6</v>
      </c>
      <c r="AB48" s="523">
        <v>0</v>
      </c>
      <c r="AC48" s="523">
        <v>0</v>
      </c>
      <c r="AD48" s="523">
        <v>0</v>
      </c>
      <c r="AE48" s="523">
        <v>0</v>
      </c>
      <c r="AF48" s="523">
        <v>0</v>
      </c>
      <c r="AG48" s="523">
        <v>0</v>
      </c>
      <c r="AH48" s="523">
        <v>0</v>
      </c>
      <c r="AI48" s="523">
        <v>0</v>
      </c>
      <c r="AJ48" s="523">
        <v>0</v>
      </c>
      <c r="AK48" s="523">
        <v>0</v>
      </c>
      <c r="AL48" s="523">
        <v>0</v>
      </c>
      <c r="AM48" s="523">
        <v>0</v>
      </c>
      <c r="AN48" s="523">
        <v>0</v>
      </c>
      <c r="AO48" s="523">
        <v>0</v>
      </c>
      <c r="AP48" s="523">
        <v>0</v>
      </c>
      <c r="AQ48" s="523">
        <v>0</v>
      </c>
      <c r="AR48" s="523">
        <v>0</v>
      </c>
      <c r="AS48" s="523">
        <v>0</v>
      </c>
      <c r="AT48" s="523">
        <v>0</v>
      </c>
      <c r="AU48" s="523">
        <v>0</v>
      </c>
      <c r="AV48" s="523">
        <v>2.2932791245314501E-5</v>
      </c>
      <c r="AW48" s="523">
        <v>1.05347509783163E-4</v>
      </c>
      <c r="AX48" s="523">
        <v>1.2828030102847801E-4</v>
      </c>
      <c r="AY48" s="523">
        <v>0</v>
      </c>
      <c r="AZ48" s="523">
        <v>0</v>
      </c>
      <c r="BA48" s="523">
        <v>0</v>
      </c>
      <c r="BB48" s="523">
        <v>0</v>
      </c>
      <c r="BC48" s="523">
        <v>5.7331978113286397E-6</v>
      </c>
      <c r="BD48" s="523">
        <v>4.51489327642131E-5</v>
      </c>
      <c r="BE48" s="523">
        <v>5.0882130575541697E-5</v>
      </c>
      <c r="BF48" s="523">
        <v>0</v>
      </c>
      <c r="BG48" s="523">
        <v>0</v>
      </c>
      <c r="BH48" s="523">
        <v>0</v>
      </c>
      <c r="BI48" s="523">
        <v>0</v>
      </c>
      <c r="BJ48" s="523">
        <v>0</v>
      </c>
      <c r="BK48" s="523">
        <v>0</v>
      </c>
      <c r="BL48" s="523">
        <v>0</v>
      </c>
      <c r="BM48" s="523">
        <v>0</v>
      </c>
      <c r="BN48" s="528">
        <v>0</v>
      </c>
    </row>
    <row r="49" spans="1:66">
      <c r="A49" s="522" t="s">
        <v>264</v>
      </c>
      <c r="B49" s="523">
        <v>2017</v>
      </c>
      <c r="C49" s="523" t="s">
        <v>142</v>
      </c>
      <c r="D49" s="523" t="s">
        <v>131</v>
      </c>
      <c r="E49" s="523" t="s">
        <v>131</v>
      </c>
      <c r="F49" s="523" t="s">
        <v>145</v>
      </c>
      <c r="G49" s="523">
        <v>459.64984685681497</v>
      </c>
      <c r="H49" s="526">
        <v>16479.043345919999</v>
      </c>
      <c r="I49" s="523">
        <v>2365.87592572527</v>
      </c>
      <c r="J49" s="523">
        <v>0</v>
      </c>
      <c r="K49" s="523">
        <v>0</v>
      </c>
      <c r="L49" s="523">
        <v>0</v>
      </c>
      <c r="M49" s="523">
        <v>0</v>
      </c>
      <c r="N49" s="523">
        <v>6.0813899403583096E-6</v>
      </c>
      <c r="O49" s="523">
        <v>1.2747635426289501E-5</v>
      </c>
      <c r="P49" s="523">
        <v>0</v>
      </c>
      <c r="Q49" s="523">
        <v>1.58475840806709E-6</v>
      </c>
      <c r="R49" s="523">
        <v>2.0413783774714902E-5</v>
      </c>
      <c r="S49" s="523">
        <v>0</v>
      </c>
      <c r="T49" s="523">
        <v>0</v>
      </c>
      <c r="U49" s="523">
        <v>0</v>
      </c>
      <c r="V49" s="523">
        <v>0</v>
      </c>
      <c r="W49" s="523">
        <v>6.0813899403583096E-6</v>
      </c>
      <c r="X49" s="523">
        <v>1.27476354262843E-5</v>
      </c>
      <c r="Y49" s="523">
        <v>0</v>
      </c>
      <c r="Z49" s="523">
        <v>1.58475840806709E-6</v>
      </c>
      <c r="AA49" s="523">
        <v>2.0413783774709701E-5</v>
      </c>
      <c r="AB49" s="523">
        <v>0</v>
      </c>
      <c r="AC49" s="523">
        <v>0</v>
      </c>
      <c r="AD49" s="523">
        <v>0</v>
      </c>
      <c r="AE49" s="523">
        <v>0</v>
      </c>
      <c r="AF49" s="523">
        <v>0</v>
      </c>
      <c r="AG49" s="523">
        <v>0</v>
      </c>
      <c r="AH49" s="523">
        <v>0</v>
      </c>
      <c r="AI49" s="523">
        <v>0</v>
      </c>
      <c r="AJ49" s="523">
        <v>0</v>
      </c>
      <c r="AK49" s="523">
        <v>0</v>
      </c>
      <c r="AL49" s="523">
        <v>0</v>
      </c>
      <c r="AM49" s="523">
        <v>0</v>
      </c>
      <c r="AN49" s="523">
        <v>0</v>
      </c>
      <c r="AO49" s="523">
        <v>0</v>
      </c>
      <c r="AP49" s="523">
        <v>0</v>
      </c>
      <c r="AQ49" s="523">
        <v>0</v>
      </c>
      <c r="AR49" s="523">
        <v>0</v>
      </c>
      <c r="AS49" s="523">
        <v>0</v>
      </c>
      <c r="AT49" s="523">
        <v>0</v>
      </c>
      <c r="AU49" s="523">
        <v>0</v>
      </c>
      <c r="AV49" s="523">
        <v>1.45320286987367E-4</v>
      </c>
      <c r="AW49" s="523">
        <v>6.6756506834821702E-4</v>
      </c>
      <c r="AX49" s="523">
        <v>8.1288535533558404E-4</v>
      </c>
      <c r="AY49" s="523">
        <v>0</v>
      </c>
      <c r="AZ49" s="523">
        <v>0</v>
      </c>
      <c r="BA49" s="523">
        <v>0</v>
      </c>
      <c r="BB49" s="523">
        <v>0</v>
      </c>
      <c r="BC49" s="523">
        <v>3.6330071746841703E-5</v>
      </c>
      <c r="BD49" s="523">
        <v>2.86099315006379E-4</v>
      </c>
      <c r="BE49" s="523">
        <v>3.2242938675322E-4</v>
      </c>
      <c r="BF49" s="523">
        <v>0</v>
      </c>
      <c r="BG49" s="523">
        <v>0</v>
      </c>
      <c r="BH49" s="523">
        <v>0</v>
      </c>
      <c r="BI49" s="523">
        <v>0</v>
      </c>
      <c r="BJ49" s="523">
        <v>0</v>
      </c>
      <c r="BK49" s="523">
        <v>0</v>
      </c>
      <c r="BL49" s="523">
        <v>0</v>
      </c>
      <c r="BM49" s="523">
        <v>0</v>
      </c>
      <c r="BN49" s="528">
        <v>0</v>
      </c>
    </row>
    <row r="50" spans="1:66">
      <c r="A50" s="522" t="s">
        <v>264</v>
      </c>
      <c r="B50" s="523">
        <v>2017</v>
      </c>
      <c r="C50" s="523" t="s">
        <v>138</v>
      </c>
      <c r="D50" s="523" t="s">
        <v>131</v>
      </c>
      <c r="E50" s="523" t="s">
        <v>131</v>
      </c>
      <c r="F50" s="523" t="s">
        <v>145</v>
      </c>
      <c r="G50" s="523">
        <v>24.445980510882201</v>
      </c>
      <c r="H50" s="526">
        <v>864.98891201744505</v>
      </c>
      <c r="I50" s="523">
        <v>125.05620035350501</v>
      </c>
      <c r="J50" s="523">
        <v>0</v>
      </c>
      <c r="K50" s="523">
        <v>0</v>
      </c>
      <c r="L50" s="523">
        <v>0</v>
      </c>
      <c r="M50" s="523">
        <v>0</v>
      </c>
      <c r="N50" s="523">
        <v>3.23432153796377E-7</v>
      </c>
      <c r="O50" s="523">
        <v>6.73818450312352E-7</v>
      </c>
      <c r="P50" s="523">
        <v>0</v>
      </c>
      <c r="Q50" s="523">
        <v>8.4283663799703298E-8</v>
      </c>
      <c r="R50" s="523">
        <v>1.08153426790843E-6</v>
      </c>
      <c r="S50" s="523">
        <v>0</v>
      </c>
      <c r="T50" s="523">
        <v>0</v>
      </c>
      <c r="U50" s="523">
        <v>0</v>
      </c>
      <c r="V50" s="523">
        <v>0</v>
      </c>
      <c r="W50" s="523">
        <v>3.23432153796377E-7</v>
      </c>
      <c r="X50" s="523">
        <v>6.7381845031207502E-7</v>
      </c>
      <c r="Y50" s="523">
        <v>0</v>
      </c>
      <c r="Z50" s="523">
        <v>8.4283663799703298E-8</v>
      </c>
      <c r="AA50" s="523">
        <v>1.08153426790815E-6</v>
      </c>
      <c r="AB50" s="523">
        <v>0</v>
      </c>
      <c r="AC50" s="523">
        <v>0</v>
      </c>
      <c r="AD50" s="523">
        <v>0</v>
      </c>
      <c r="AE50" s="523">
        <v>0</v>
      </c>
      <c r="AF50" s="523">
        <v>0</v>
      </c>
      <c r="AG50" s="523">
        <v>0</v>
      </c>
      <c r="AH50" s="523">
        <v>0</v>
      </c>
      <c r="AI50" s="523">
        <v>0</v>
      </c>
      <c r="AJ50" s="523">
        <v>0</v>
      </c>
      <c r="AK50" s="523">
        <v>0</v>
      </c>
      <c r="AL50" s="523">
        <v>0</v>
      </c>
      <c r="AM50" s="523">
        <v>0</v>
      </c>
      <c r="AN50" s="523">
        <v>0</v>
      </c>
      <c r="AO50" s="523">
        <v>0</v>
      </c>
      <c r="AP50" s="523">
        <v>0</v>
      </c>
      <c r="AQ50" s="523">
        <v>0</v>
      </c>
      <c r="AR50" s="523">
        <v>0</v>
      </c>
      <c r="AS50" s="523">
        <v>0</v>
      </c>
      <c r="AT50" s="523">
        <v>0</v>
      </c>
      <c r="AU50" s="523">
        <v>0</v>
      </c>
      <c r="AV50" s="523">
        <v>7.6278964923280803E-6</v>
      </c>
      <c r="AW50" s="523">
        <v>3.5040649511632097E-5</v>
      </c>
      <c r="AX50" s="523">
        <v>4.2668546003960203E-5</v>
      </c>
      <c r="AY50" s="523">
        <v>0</v>
      </c>
      <c r="AZ50" s="523">
        <v>0</v>
      </c>
      <c r="BA50" s="523">
        <v>0</v>
      </c>
      <c r="BB50" s="523">
        <v>0</v>
      </c>
      <c r="BC50" s="523">
        <v>1.9069741230820201E-6</v>
      </c>
      <c r="BD50" s="523">
        <v>1.5017421219270899E-5</v>
      </c>
      <c r="BE50" s="523">
        <v>1.6924395342352899E-5</v>
      </c>
      <c r="BF50" s="523">
        <v>0</v>
      </c>
      <c r="BG50" s="523">
        <v>0</v>
      </c>
      <c r="BH50" s="523">
        <v>0</v>
      </c>
      <c r="BI50" s="523">
        <v>0</v>
      </c>
      <c r="BJ50" s="523">
        <v>0</v>
      </c>
      <c r="BK50" s="523">
        <v>0</v>
      </c>
      <c r="BL50" s="523">
        <v>0</v>
      </c>
      <c r="BM50" s="523">
        <v>0</v>
      </c>
      <c r="BN50" s="528">
        <v>0</v>
      </c>
    </row>
    <row r="51" spans="1:66">
      <c r="A51" s="522" t="s">
        <v>264</v>
      </c>
      <c r="B51" s="523">
        <v>2017</v>
      </c>
      <c r="C51" s="523" t="s">
        <v>144</v>
      </c>
      <c r="D51" s="523" t="s">
        <v>131</v>
      </c>
      <c r="E51" s="523" t="s">
        <v>131</v>
      </c>
      <c r="F51" s="523" t="s">
        <v>130</v>
      </c>
      <c r="G51" s="523">
        <v>264816.69396696897</v>
      </c>
      <c r="H51" s="526">
        <v>9783547.0099765491</v>
      </c>
      <c r="I51" s="523">
        <v>1251389.10189535</v>
      </c>
      <c r="J51" s="523">
        <v>0.216599382683619</v>
      </c>
      <c r="K51" s="523">
        <v>0</v>
      </c>
      <c r="L51" s="523">
        <v>0.55843761099149203</v>
      </c>
      <c r="M51" s="523">
        <v>0.77503699367511103</v>
      </c>
      <c r="N51" s="523">
        <v>7.4569264005836494E-2</v>
      </c>
      <c r="O51" s="523">
        <v>0.193394505679435</v>
      </c>
      <c r="P51" s="523">
        <v>0.400479260015072</v>
      </c>
      <c r="Q51" s="523">
        <v>6.8382648957991399E-2</v>
      </c>
      <c r="R51" s="523">
        <v>1.5118626723334401</v>
      </c>
      <c r="S51" s="523">
        <v>0.31357024992744398</v>
      </c>
      <c r="T51" s="523">
        <v>0</v>
      </c>
      <c r="U51" s="523">
        <v>0.61133758185786702</v>
      </c>
      <c r="V51" s="523">
        <v>0.924907831785311</v>
      </c>
      <c r="W51" s="523">
        <v>7.4569264005836494E-2</v>
      </c>
      <c r="X51" s="523">
        <v>0.19339450567935501</v>
      </c>
      <c r="Y51" s="523">
        <v>0.40047926001490702</v>
      </c>
      <c r="Z51" s="523">
        <v>6.8382648957991399E-2</v>
      </c>
      <c r="AA51" s="523">
        <v>1.6617335104433999</v>
      </c>
      <c r="AB51" s="523">
        <v>10.500109535998501</v>
      </c>
      <c r="AC51" s="523">
        <v>0</v>
      </c>
      <c r="AD51" s="523">
        <v>3.7734251117966999</v>
      </c>
      <c r="AE51" s="523">
        <v>14.2735346477952</v>
      </c>
      <c r="AF51" s="523">
        <v>0.84892467250519299</v>
      </c>
      <c r="AG51" s="523">
        <v>0</v>
      </c>
      <c r="AH51" s="523">
        <v>0.386807849759637</v>
      </c>
      <c r="AI51" s="523">
        <v>1.2357325222648301</v>
      </c>
      <c r="AJ51" s="523">
        <v>3120.7646392702</v>
      </c>
      <c r="AK51" s="523">
        <v>0</v>
      </c>
      <c r="AL51" s="523">
        <v>85.710538027051498</v>
      </c>
      <c r="AM51" s="523">
        <v>3206.47517729725</v>
      </c>
      <c r="AN51" s="523">
        <v>5.03830267148117E-2</v>
      </c>
      <c r="AO51" s="523">
        <v>0</v>
      </c>
      <c r="AP51" s="523">
        <v>0.11244495560498501</v>
      </c>
      <c r="AQ51" s="523">
        <v>0.162827982319797</v>
      </c>
      <c r="AR51" s="523">
        <v>1.7235156554486201E-2</v>
      </c>
      <c r="AS51" s="523">
        <v>0</v>
      </c>
      <c r="AT51" s="523">
        <v>3.14536794597441E-3</v>
      </c>
      <c r="AU51" s="523">
        <v>2.0380524500460601E-2</v>
      </c>
      <c r="AV51" s="523">
        <v>8.6276116240460998E-2</v>
      </c>
      <c r="AW51" s="523">
        <v>0.39633090897961798</v>
      </c>
      <c r="AX51" s="523">
        <v>0.50298754972053905</v>
      </c>
      <c r="AY51" s="523">
        <v>1.5849439047173501E-2</v>
      </c>
      <c r="AZ51" s="523">
        <v>0</v>
      </c>
      <c r="BA51" s="523">
        <v>2.8953501932543601E-3</v>
      </c>
      <c r="BB51" s="523">
        <v>1.87447892404278E-2</v>
      </c>
      <c r="BC51" s="523">
        <v>2.1569029060115201E-2</v>
      </c>
      <c r="BD51" s="523">
        <v>0.16985610384840699</v>
      </c>
      <c r="BE51" s="523">
        <v>0.21016992214895</v>
      </c>
      <c r="BF51" s="523">
        <v>3.08824959720186E-2</v>
      </c>
      <c r="BG51" s="523">
        <v>0</v>
      </c>
      <c r="BH51" s="523">
        <v>8.4817525553576004E-4</v>
      </c>
      <c r="BI51" s="523">
        <v>3.1730671227554401E-2</v>
      </c>
      <c r="BJ51" s="523">
        <v>7.5854769066921304E-2</v>
      </c>
      <c r="BK51" s="523">
        <v>0</v>
      </c>
      <c r="BL51" s="523">
        <v>4.3953847038803298E-2</v>
      </c>
      <c r="BM51" s="523">
        <v>0.11980861610572401</v>
      </c>
      <c r="BN51" s="528">
        <v>338.45372401943303</v>
      </c>
    </row>
    <row r="52" spans="1:66">
      <c r="A52" s="522" t="s">
        <v>264</v>
      </c>
      <c r="B52" s="523">
        <v>2017</v>
      </c>
      <c r="C52" s="523" t="s">
        <v>143</v>
      </c>
      <c r="D52" s="523" t="s">
        <v>131</v>
      </c>
      <c r="E52" s="523" t="s">
        <v>131</v>
      </c>
      <c r="F52" s="523" t="s">
        <v>130</v>
      </c>
      <c r="G52" s="523">
        <v>29033.9029521925</v>
      </c>
      <c r="H52" s="526">
        <v>1034807.93597834</v>
      </c>
      <c r="I52" s="523">
        <v>134908.59782150999</v>
      </c>
      <c r="J52" s="523">
        <v>5.1132382696425602E-2</v>
      </c>
      <c r="K52" s="523">
        <v>0</v>
      </c>
      <c r="L52" s="523">
        <v>8.0457282460443605E-2</v>
      </c>
      <c r="M52" s="523">
        <v>0.13158966515686901</v>
      </c>
      <c r="N52" s="523">
        <v>1.4716203203132E-2</v>
      </c>
      <c r="O52" s="523">
        <v>3.34593480959079E-2</v>
      </c>
      <c r="P52" s="523">
        <v>0.12684475881204599</v>
      </c>
      <c r="Q52" s="523">
        <v>1.24538806881168E-2</v>
      </c>
      <c r="R52" s="523">
        <v>0.31906385595607201</v>
      </c>
      <c r="S52" s="523">
        <v>7.1256125653831798E-2</v>
      </c>
      <c r="T52" s="523">
        <v>0</v>
      </c>
      <c r="U52" s="523">
        <v>8.8075869691427999E-2</v>
      </c>
      <c r="V52" s="523">
        <v>0.15933199534525899</v>
      </c>
      <c r="W52" s="523">
        <v>1.4716203203132E-2</v>
      </c>
      <c r="X52" s="523">
        <v>3.3459348095894098E-2</v>
      </c>
      <c r="Y52" s="523">
        <v>0.126844758811994</v>
      </c>
      <c r="Z52" s="523">
        <v>1.24538806881168E-2</v>
      </c>
      <c r="AA52" s="523">
        <v>0.34680618614439701</v>
      </c>
      <c r="AB52" s="523">
        <v>1.91373420242968</v>
      </c>
      <c r="AC52" s="523">
        <v>0</v>
      </c>
      <c r="AD52" s="523">
        <v>0.43613265587677402</v>
      </c>
      <c r="AE52" s="523">
        <v>2.3498668583064601</v>
      </c>
      <c r="AF52" s="523">
        <v>0.192043683742016</v>
      </c>
      <c r="AG52" s="523">
        <v>0</v>
      </c>
      <c r="AH52" s="523">
        <v>5.2425161292107503E-2</v>
      </c>
      <c r="AI52" s="523">
        <v>0.244468845034123</v>
      </c>
      <c r="AJ52" s="523">
        <v>378.92336592987198</v>
      </c>
      <c r="AK52" s="523">
        <v>0</v>
      </c>
      <c r="AL52" s="523">
        <v>10.673085311988199</v>
      </c>
      <c r="AM52" s="523">
        <v>389.59645124186</v>
      </c>
      <c r="AN52" s="523">
        <v>1.0371914372264E-2</v>
      </c>
      <c r="AO52" s="523">
        <v>0</v>
      </c>
      <c r="AP52" s="523">
        <v>1.52658180771417E-2</v>
      </c>
      <c r="AQ52" s="523">
        <v>2.56377324494057E-2</v>
      </c>
      <c r="AR52" s="523">
        <v>2.7725174075388099E-3</v>
      </c>
      <c r="AS52" s="523">
        <v>0</v>
      </c>
      <c r="AT52" s="523">
        <v>4.6093877832317299E-4</v>
      </c>
      <c r="AU52" s="523">
        <v>3.2334561858619799E-3</v>
      </c>
      <c r="AV52" s="523">
        <v>9.1254439397060096E-3</v>
      </c>
      <c r="AW52" s="523">
        <v>4.19200080980245E-2</v>
      </c>
      <c r="AX52" s="523">
        <v>5.4278908223592499E-2</v>
      </c>
      <c r="AY52" s="523">
        <v>2.5522487784587098E-3</v>
      </c>
      <c r="AZ52" s="523">
        <v>0</v>
      </c>
      <c r="BA52" s="523">
        <v>4.2439907737218001E-4</v>
      </c>
      <c r="BB52" s="523">
        <v>2.9766478558308899E-3</v>
      </c>
      <c r="BC52" s="523">
        <v>2.2813609849264998E-3</v>
      </c>
      <c r="BD52" s="523">
        <v>1.7965717756296198E-2</v>
      </c>
      <c r="BE52" s="523">
        <v>2.3223726597053601E-2</v>
      </c>
      <c r="BF52" s="523">
        <v>3.74975388235928E-3</v>
      </c>
      <c r="BG52" s="523">
        <v>0</v>
      </c>
      <c r="BH52" s="523">
        <v>1.05618831362293E-4</v>
      </c>
      <c r="BI52" s="523">
        <v>3.8553727137215798E-3</v>
      </c>
      <c r="BJ52" s="523">
        <v>1.29667020175761E-2</v>
      </c>
      <c r="BK52" s="523">
        <v>0</v>
      </c>
      <c r="BL52" s="523">
        <v>5.1047252009622096E-3</v>
      </c>
      <c r="BM52" s="523">
        <v>1.80714272185383E-2</v>
      </c>
      <c r="BN52" s="528">
        <v>41.123153149967202</v>
      </c>
    </row>
    <row r="53" spans="1:66">
      <c r="A53" s="522" t="s">
        <v>264</v>
      </c>
      <c r="B53" s="523">
        <v>2017</v>
      </c>
      <c r="C53" s="523" t="s">
        <v>142</v>
      </c>
      <c r="D53" s="523" t="s">
        <v>131</v>
      </c>
      <c r="E53" s="523" t="s">
        <v>131</v>
      </c>
      <c r="F53" s="523" t="s">
        <v>130</v>
      </c>
      <c r="G53" s="523">
        <v>94977.835609177695</v>
      </c>
      <c r="H53" s="526">
        <v>3474529.77941204</v>
      </c>
      <c r="I53" s="523">
        <v>449813.86433527799</v>
      </c>
      <c r="J53" s="523">
        <v>9.6174052733344298E-2</v>
      </c>
      <c r="K53" s="523">
        <v>0</v>
      </c>
      <c r="L53" s="523">
        <v>0.23111747220362899</v>
      </c>
      <c r="M53" s="523">
        <v>0.327291524936973</v>
      </c>
      <c r="N53" s="523">
        <v>2.5960290017440699E-2</v>
      </c>
      <c r="O53" s="523">
        <v>6.5056322692630203E-2</v>
      </c>
      <c r="P53" s="523">
        <v>0.21723637482552799</v>
      </c>
      <c r="Q53" s="523">
        <v>2.57986044894318E-2</v>
      </c>
      <c r="R53" s="523">
        <v>0.66134311696200498</v>
      </c>
      <c r="S53" s="523">
        <v>0.136248765860215</v>
      </c>
      <c r="T53" s="523">
        <v>0</v>
      </c>
      <c r="U53" s="523">
        <v>0.25302695324007302</v>
      </c>
      <c r="V53" s="523">
        <v>0.38927571910028902</v>
      </c>
      <c r="W53" s="523">
        <v>2.5960290017440699E-2</v>
      </c>
      <c r="X53" s="523">
        <v>6.5056322692603405E-2</v>
      </c>
      <c r="Y53" s="523">
        <v>0.217236374825439</v>
      </c>
      <c r="Z53" s="523">
        <v>2.57986044894318E-2</v>
      </c>
      <c r="AA53" s="523">
        <v>0.72332731112520499</v>
      </c>
      <c r="AB53" s="523">
        <v>4.3854016643354097</v>
      </c>
      <c r="AC53" s="523">
        <v>0</v>
      </c>
      <c r="AD53" s="523">
        <v>1.6760995046071201</v>
      </c>
      <c r="AE53" s="523">
        <v>6.06150116894253</v>
      </c>
      <c r="AF53" s="523">
        <v>0.48959456430457099</v>
      </c>
      <c r="AG53" s="523">
        <v>0</v>
      </c>
      <c r="AH53" s="523">
        <v>0.21052594168154401</v>
      </c>
      <c r="AI53" s="523">
        <v>0.70012050598611497</v>
      </c>
      <c r="AJ53" s="523">
        <v>1416.27613327633</v>
      </c>
      <c r="AK53" s="523">
        <v>0</v>
      </c>
      <c r="AL53" s="523">
        <v>39.768599971537</v>
      </c>
      <c r="AM53" s="523">
        <v>1456.04473324787</v>
      </c>
      <c r="AN53" s="523">
        <v>2.1447301954179501E-2</v>
      </c>
      <c r="AO53" s="523">
        <v>0</v>
      </c>
      <c r="AP53" s="523">
        <v>4.7018084677973103E-2</v>
      </c>
      <c r="AQ53" s="523">
        <v>6.8465386632152597E-2</v>
      </c>
      <c r="AR53" s="523">
        <v>6.0320288729376701E-3</v>
      </c>
      <c r="AS53" s="523">
        <v>0</v>
      </c>
      <c r="AT53" s="523">
        <v>1.00853268319646E-3</v>
      </c>
      <c r="AU53" s="523">
        <v>7.0405615561341299E-3</v>
      </c>
      <c r="AV53" s="523">
        <v>3.0640107807916001E-2</v>
      </c>
      <c r="AW53" s="523">
        <v>0.140752995242614</v>
      </c>
      <c r="AX53" s="523">
        <v>0.17843366460666399</v>
      </c>
      <c r="AY53" s="523">
        <v>5.5498140830342697E-3</v>
      </c>
      <c r="AZ53" s="523">
        <v>0</v>
      </c>
      <c r="BA53" s="523">
        <v>9.2799808363842396E-4</v>
      </c>
      <c r="BB53" s="523">
        <v>6.4778121666726899E-3</v>
      </c>
      <c r="BC53" s="523">
        <v>7.6600269519790203E-3</v>
      </c>
      <c r="BD53" s="523">
        <v>6.0322712246834699E-2</v>
      </c>
      <c r="BE53" s="523">
        <v>7.4460551365486502E-2</v>
      </c>
      <c r="BF53" s="523">
        <v>1.40152004514512E-2</v>
      </c>
      <c r="BG53" s="523">
        <v>0</v>
      </c>
      <c r="BH53" s="523">
        <v>3.9354253537076002E-4</v>
      </c>
      <c r="BI53" s="523">
        <v>1.4408742986821901E-2</v>
      </c>
      <c r="BJ53" s="523">
        <v>3.5925652159401397E-2</v>
      </c>
      <c r="BK53" s="523">
        <v>0</v>
      </c>
      <c r="BL53" s="523">
        <v>2.0389374666042102E-2</v>
      </c>
      <c r="BM53" s="523">
        <v>5.6315026825443502E-2</v>
      </c>
      <c r="BN53" s="528">
        <v>153.690184722406</v>
      </c>
    </row>
    <row r="54" spans="1:66">
      <c r="A54" s="522" t="s">
        <v>264</v>
      </c>
      <c r="B54" s="523">
        <v>2017</v>
      </c>
      <c r="C54" s="523" t="s">
        <v>141</v>
      </c>
      <c r="D54" s="523" t="s">
        <v>131</v>
      </c>
      <c r="E54" s="523" t="s">
        <v>131</v>
      </c>
      <c r="F54" s="523" t="s">
        <v>130</v>
      </c>
      <c r="G54" s="523">
        <v>7376.6408408723801</v>
      </c>
      <c r="H54" s="526">
        <v>289736.86783535598</v>
      </c>
      <c r="I54" s="523">
        <v>109900.957334145</v>
      </c>
      <c r="J54" s="523">
        <v>2.8136149785250801E-2</v>
      </c>
      <c r="K54" s="523">
        <v>3.87722105247369E-3</v>
      </c>
      <c r="L54" s="523">
        <v>2.0602179098272399E-2</v>
      </c>
      <c r="M54" s="523">
        <v>5.2615549935996903E-2</v>
      </c>
      <c r="N54" s="523">
        <v>3.4504418017166499E-4</v>
      </c>
      <c r="O54" s="523">
        <v>1.6074920890780699E-2</v>
      </c>
      <c r="P54" s="523">
        <v>0.11269575293909399</v>
      </c>
      <c r="Q54" s="523">
        <v>1.95180795803956E-4</v>
      </c>
      <c r="R54" s="523">
        <v>0.18192644874184699</v>
      </c>
      <c r="S54" s="523">
        <v>3.8993496576710501E-2</v>
      </c>
      <c r="T54" s="523">
        <v>5.6453918141794899E-3</v>
      </c>
      <c r="U54" s="523">
        <v>2.2537339221655399E-2</v>
      </c>
      <c r="V54" s="523">
        <v>6.7176227612545394E-2</v>
      </c>
      <c r="W54" s="523">
        <v>3.4504418017166499E-4</v>
      </c>
      <c r="X54" s="523">
        <v>1.60749208907741E-2</v>
      </c>
      <c r="Y54" s="523">
        <v>0.112695752939047</v>
      </c>
      <c r="Z54" s="523">
        <v>1.95180795803956E-4</v>
      </c>
      <c r="AA54" s="523">
        <v>0.19648712641834201</v>
      </c>
      <c r="AB54" s="523">
        <v>0.51523483890890598</v>
      </c>
      <c r="AC54" s="523">
        <v>3.0383998069621599E-2</v>
      </c>
      <c r="AD54" s="523">
        <v>0.24244868222659699</v>
      </c>
      <c r="AE54" s="523">
        <v>0.78806751920512497</v>
      </c>
      <c r="AF54" s="523">
        <v>0.103720452193532</v>
      </c>
      <c r="AG54" s="523">
        <v>3.3811251824587802E-4</v>
      </c>
      <c r="AH54" s="523">
        <v>7.0892800845847703E-2</v>
      </c>
      <c r="AI54" s="523">
        <v>0.174951365557625</v>
      </c>
      <c r="AJ54" s="523">
        <v>333.87565382792098</v>
      </c>
      <c r="AK54" s="523">
        <v>1.0097111826975</v>
      </c>
      <c r="AL54" s="523">
        <v>2.42478392988951</v>
      </c>
      <c r="AM54" s="523">
        <v>337.31014894050799</v>
      </c>
      <c r="AN54" s="523">
        <v>5.2880950046761801E-3</v>
      </c>
      <c r="AO54" s="523">
        <v>1.05061743916711E-3</v>
      </c>
      <c r="AP54" s="523">
        <v>3.91088237208366E-3</v>
      </c>
      <c r="AQ54" s="523">
        <v>1.02495948159269E-2</v>
      </c>
      <c r="AR54" s="523">
        <v>8.1981570079387605E-4</v>
      </c>
      <c r="AS54" s="523">
        <v>0</v>
      </c>
      <c r="AT54" s="523">
        <v>6.9442021489940595E-5</v>
      </c>
      <c r="AU54" s="523">
        <v>8.8925772228381703E-4</v>
      </c>
      <c r="AV54" s="523">
        <v>2.5550418128537401E-3</v>
      </c>
      <c r="AW54" s="523">
        <v>2.4413424521817498E-2</v>
      </c>
      <c r="AX54" s="523">
        <v>2.7857724056955E-2</v>
      </c>
      <c r="AY54" s="523">
        <v>7.5541633314424805E-4</v>
      </c>
      <c r="AZ54" s="523">
        <v>0</v>
      </c>
      <c r="BA54" s="523">
        <v>6.4302738422008498E-5</v>
      </c>
      <c r="BB54" s="523">
        <v>8.1971907156625705E-4</v>
      </c>
      <c r="BC54" s="523">
        <v>6.3876045321343503E-4</v>
      </c>
      <c r="BD54" s="523">
        <v>1.0462896223636E-2</v>
      </c>
      <c r="BE54" s="523">
        <v>1.1921375748415701E-2</v>
      </c>
      <c r="BF54" s="523">
        <v>3.3039702529143902E-3</v>
      </c>
      <c r="BG54" s="523">
        <v>9.99191068117523E-6</v>
      </c>
      <c r="BH54" s="523">
        <v>2.39952026517899E-5</v>
      </c>
      <c r="BI54" s="523">
        <v>3.33795736624736E-3</v>
      </c>
      <c r="BJ54" s="523">
        <v>6.1715736880741797E-3</v>
      </c>
      <c r="BK54" s="523">
        <v>2.64300474633602E-5</v>
      </c>
      <c r="BL54" s="523">
        <v>5.5044968618971997E-3</v>
      </c>
      <c r="BM54" s="523">
        <v>1.17025005974347E-2</v>
      </c>
      <c r="BN54" s="528">
        <v>35.604166489975299</v>
      </c>
    </row>
    <row r="55" spans="1:66">
      <c r="A55" s="522" t="s">
        <v>264</v>
      </c>
      <c r="B55" s="523">
        <v>2017</v>
      </c>
      <c r="C55" s="523" t="s">
        <v>140</v>
      </c>
      <c r="D55" s="523" t="s">
        <v>131</v>
      </c>
      <c r="E55" s="523" t="s">
        <v>131</v>
      </c>
      <c r="F55" s="523" t="s">
        <v>130</v>
      </c>
      <c r="G55" s="523">
        <v>946.62716225788699</v>
      </c>
      <c r="H55" s="526">
        <v>35065.870916409498</v>
      </c>
      <c r="I55" s="523">
        <v>14103.334243170701</v>
      </c>
      <c r="J55" s="523">
        <v>2.8223580269958002E-3</v>
      </c>
      <c r="K55" s="523">
        <v>4.9769026033208799E-4</v>
      </c>
      <c r="L55" s="523">
        <v>2.4369382937476898E-3</v>
      </c>
      <c r="M55" s="523">
        <v>5.7569865810755804E-3</v>
      </c>
      <c r="N55" s="523">
        <v>4.5090642325098997E-5</v>
      </c>
      <c r="O55" s="523">
        <v>2.08016846432216E-3</v>
      </c>
      <c r="P55" s="523">
        <v>1.6620924453869101E-2</v>
      </c>
      <c r="Q55" s="523">
        <v>2.4854583688414499E-5</v>
      </c>
      <c r="R55" s="523">
        <v>2.4528024725280401E-2</v>
      </c>
      <c r="S55" s="523">
        <v>4.1183782077407602E-3</v>
      </c>
      <c r="T55" s="523">
        <v>7.26228459589953E-4</v>
      </c>
      <c r="U55" s="523">
        <v>2.6681406888594199E-3</v>
      </c>
      <c r="V55" s="523">
        <v>7.5127473561901401E-3</v>
      </c>
      <c r="W55" s="523">
        <v>4.5090642325098997E-5</v>
      </c>
      <c r="X55" s="523">
        <v>2.0801684643213E-3</v>
      </c>
      <c r="Y55" s="523">
        <v>1.6620924453862301E-2</v>
      </c>
      <c r="Z55" s="523">
        <v>2.4854583688414499E-5</v>
      </c>
      <c r="AA55" s="523">
        <v>2.6283785500387302E-2</v>
      </c>
      <c r="AB55" s="523">
        <v>5.2290222165599101E-2</v>
      </c>
      <c r="AC55" s="523">
        <v>3.8954139816095999E-3</v>
      </c>
      <c r="AD55" s="523">
        <v>3.2128457404630502E-2</v>
      </c>
      <c r="AE55" s="523">
        <v>8.8314093551839196E-2</v>
      </c>
      <c r="AF55" s="523">
        <v>1.48002970272713E-2</v>
      </c>
      <c r="AG55" s="523">
        <v>4.3500522526193003E-5</v>
      </c>
      <c r="AH55" s="523">
        <v>9.1023822024907802E-3</v>
      </c>
      <c r="AI55" s="523">
        <v>2.3946179752288299E-2</v>
      </c>
      <c r="AJ55" s="523">
        <v>46.441348720776602</v>
      </c>
      <c r="AK55" s="523">
        <v>0.149770703468075</v>
      </c>
      <c r="AL55" s="523">
        <v>0.34866001693458998</v>
      </c>
      <c r="AM55" s="523">
        <v>46.939779441179198</v>
      </c>
      <c r="AN55" s="523">
        <v>5.9450765765216003E-4</v>
      </c>
      <c r="AO55" s="523">
        <v>1.3459202335072801E-4</v>
      </c>
      <c r="AP55" s="523">
        <v>4.7594319858909899E-4</v>
      </c>
      <c r="AQ55" s="523">
        <v>1.2050428795919799E-3</v>
      </c>
      <c r="AR55" s="523">
        <v>9.3541872535659898E-5</v>
      </c>
      <c r="AS55" s="523">
        <v>0</v>
      </c>
      <c r="AT55" s="523">
        <v>6.9310916996108099E-6</v>
      </c>
      <c r="AU55" s="523">
        <v>1.0047296423526999E-4</v>
      </c>
      <c r="AV55" s="523">
        <v>3.0922804910858199E-4</v>
      </c>
      <c r="AW55" s="523">
        <v>3.4471196774379198E-3</v>
      </c>
      <c r="AX55" s="523">
        <v>3.8568206907817698E-3</v>
      </c>
      <c r="AY55" s="523">
        <v>8.6008298908626902E-5</v>
      </c>
      <c r="AZ55" s="523">
        <v>0</v>
      </c>
      <c r="BA55" s="523">
        <v>6.3728829721253703E-6</v>
      </c>
      <c r="BB55" s="523">
        <v>9.2381181880752303E-5</v>
      </c>
      <c r="BC55" s="523">
        <v>7.7307012277145497E-5</v>
      </c>
      <c r="BD55" s="523">
        <v>1.4773370046162501E-3</v>
      </c>
      <c r="BE55" s="523">
        <v>1.64702519877414E-3</v>
      </c>
      <c r="BF55" s="523">
        <v>4.5957479354799801E-4</v>
      </c>
      <c r="BG55" s="523">
        <v>1.4821025233293001E-6</v>
      </c>
      <c r="BH55" s="523">
        <v>3.45027351088688E-6</v>
      </c>
      <c r="BI55" s="523">
        <v>4.6450716958221401E-4</v>
      </c>
      <c r="BJ55" s="523">
        <v>8.8186274693088701E-4</v>
      </c>
      <c r="BK55" s="523">
        <v>3.2702402954734599E-6</v>
      </c>
      <c r="BL55" s="523">
        <v>6.7762940643597105E-4</v>
      </c>
      <c r="BM55" s="523">
        <v>1.56276239366233E-3</v>
      </c>
      <c r="BN55" s="528">
        <v>4.9546440493292998</v>
      </c>
    </row>
    <row r="56" spans="1:66">
      <c r="A56" s="522" t="s">
        <v>264</v>
      </c>
      <c r="B56" s="523">
        <v>2017</v>
      </c>
      <c r="C56" s="523" t="s">
        <v>139</v>
      </c>
      <c r="D56" s="523" t="s">
        <v>131</v>
      </c>
      <c r="E56" s="523" t="s">
        <v>131</v>
      </c>
      <c r="F56" s="523" t="s">
        <v>130</v>
      </c>
      <c r="G56" s="523">
        <v>11342.614262293</v>
      </c>
      <c r="H56" s="526">
        <v>111562.96988400001</v>
      </c>
      <c r="I56" s="523">
        <v>22685.228524586</v>
      </c>
      <c r="J56" s="523">
        <v>0.300271564398368</v>
      </c>
      <c r="K56" s="523">
        <v>0</v>
      </c>
      <c r="L56" s="523">
        <v>5.24233687222369E-2</v>
      </c>
      <c r="M56" s="523">
        <v>0.35269493312060402</v>
      </c>
      <c r="N56" s="523">
        <v>1.7990854875080699E-2</v>
      </c>
      <c r="O56" s="523">
        <v>1.9873393760768798E-2</v>
      </c>
      <c r="P56" s="523">
        <v>7.2460537432135597E-2</v>
      </c>
      <c r="Q56" s="523">
        <v>1.15270066401254E-2</v>
      </c>
      <c r="R56" s="523">
        <v>0.47454672582871499</v>
      </c>
      <c r="S56" s="523">
        <v>0.36246646590847298</v>
      </c>
      <c r="T56" s="523">
        <v>0</v>
      </c>
      <c r="U56" s="523">
        <v>5.6999277764953699E-2</v>
      </c>
      <c r="V56" s="523">
        <v>0.41946574367342698</v>
      </c>
      <c r="W56" s="523">
        <v>1.7990854875080699E-2</v>
      </c>
      <c r="X56" s="523">
        <v>1.9873393760760701E-2</v>
      </c>
      <c r="Y56" s="523">
        <v>7.2460537432105704E-2</v>
      </c>
      <c r="Z56" s="523">
        <v>1.15270066401254E-2</v>
      </c>
      <c r="AA56" s="523">
        <v>0.54131753638149904</v>
      </c>
      <c r="AB56" s="523">
        <v>2.78363936260663</v>
      </c>
      <c r="AC56" s="523">
        <v>0</v>
      </c>
      <c r="AD56" s="523">
        <v>0.22360694260699901</v>
      </c>
      <c r="AE56" s="523">
        <v>3.0072463052136298</v>
      </c>
      <c r="AF56" s="523">
        <v>0.14623101430927399</v>
      </c>
      <c r="AG56" s="523">
        <v>0</v>
      </c>
      <c r="AH56" s="523">
        <v>6.8232801090899698E-3</v>
      </c>
      <c r="AI56" s="523">
        <v>0.15305429441836399</v>
      </c>
      <c r="AJ56" s="523">
        <v>26.390001501629801</v>
      </c>
      <c r="AK56" s="523">
        <v>0</v>
      </c>
      <c r="AL56" s="523">
        <v>1.5991637119931399</v>
      </c>
      <c r="AM56" s="523">
        <v>27.989165213622901</v>
      </c>
      <c r="AN56" s="523">
        <v>4.3167026846153402E-2</v>
      </c>
      <c r="AO56" s="523">
        <v>0</v>
      </c>
      <c r="AP56" s="523">
        <v>6.8404681594954504E-3</v>
      </c>
      <c r="AQ56" s="523">
        <v>5.0007495005648897E-2</v>
      </c>
      <c r="AR56" s="523">
        <v>2.2701003458046499E-4</v>
      </c>
      <c r="AS56" s="523">
        <v>0</v>
      </c>
      <c r="AT56" s="523">
        <v>1.0502152802204699E-4</v>
      </c>
      <c r="AU56" s="523">
        <v>3.3203156260251302E-4</v>
      </c>
      <c r="AV56" s="523">
        <v>4.9190849433380305E-4</v>
      </c>
      <c r="AW56" s="523">
        <v>1.44621097334138E-3</v>
      </c>
      <c r="AX56" s="523">
        <v>2.2701510302776898E-3</v>
      </c>
      <c r="AY56" s="523">
        <v>2.1367281771301301E-4</v>
      </c>
      <c r="AZ56" s="523">
        <v>0</v>
      </c>
      <c r="BA56" s="523">
        <v>9.9616711012603005E-5</v>
      </c>
      <c r="BB56" s="523">
        <v>3.1328952872561598E-4</v>
      </c>
      <c r="BC56" s="523">
        <v>1.2297712358345E-4</v>
      </c>
      <c r="BD56" s="523">
        <v>6.1980470286059205E-4</v>
      </c>
      <c r="BE56" s="523">
        <v>1.05607135516966E-3</v>
      </c>
      <c r="BF56" s="523">
        <v>2.6115045807050501E-4</v>
      </c>
      <c r="BG56" s="523">
        <v>0</v>
      </c>
      <c r="BH56" s="523">
        <v>1.58250213017588E-5</v>
      </c>
      <c r="BI56" s="523">
        <v>2.7697547937226399E-4</v>
      </c>
      <c r="BJ56" s="523">
        <v>8.3737883677654102E-3</v>
      </c>
      <c r="BK56" s="523">
        <v>0</v>
      </c>
      <c r="BL56" s="523">
        <v>3.85718293958651E-4</v>
      </c>
      <c r="BM56" s="523">
        <v>8.7595066617240595E-3</v>
      </c>
      <c r="BN56" s="528">
        <v>2.9543460263836199</v>
      </c>
    </row>
    <row r="57" spans="1:66">
      <c r="A57" s="522" t="s">
        <v>264</v>
      </c>
      <c r="B57" s="523">
        <v>2017</v>
      </c>
      <c r="C57" s="523" t="s">
        <v>138</v>
      </c>
      <c r="D57" s="523" t="s">
        <v>131</v>
      </c>
      <c r="E57" s="523" t="s">
        <v>131</v>
      </c>
      <c r="F57" s="523" t="s">
        <v>130</v>
      </c>
      <c r="G57" s="523">
        <v>56355.983074918498</v>
      </c>
      <c r="H57" s="526">
        <v>2031530.2634369801</v>
      </c>
      <c r="I57" s="523">
        <v>263697.87485672499</v>
      </c>
      <c r="J57" s="523">
        <v>7.3622091344746704E-2</v>
      </c>
      <c r="K57" s="523">
        <v>0</v>
      </c>
      <c r="L57" s="523">
        <v>0.18108398238640699</v>
      </c>
      <c r="M57" s="523">
        <v>0.254706073731154</v>
      </c>
      <c r="N57" s="523">
        <v>1.8027470479288502E-2</v>
      </c>
      <c r="O57" s="523">
        <v>4.4124224964540597E-2</v>
      </c>
      <c r="P57" s="523">
        <v>0.142246929138242</v>
      </c>
      <c r="Q57" s="523">
        <v>1.8369852115275899E-2</v>
      </c>
      <c r="R57" s="523">
        <v>0.47747455042850101</v>
      </c>
      <c r="S57" s="523">
        <v>0.103159608364488</v>
      </c>
      <c r="T57" s="523">
        <v>0</v>
      </c>
      <c r="U57" s="523">
        <v>0.198234457974857</v>
      </c>
      <c r="V57" s="523">
        <v>0.30139406633934601</v>
      </c>
      <c r="W57" s="523">
        <v>1.8027470479288502E-2</v>
      </c>
      <c r="X57" s="523">
        <v>4.4124224964522403E-2</v>
      </c>
      <c r="Y57" s="523">
        <v>0.14224692913818299</v>
      </c>
      <c r="Z57" s="523">
        <v>1.8369852115275899E-2</v>
      </c>
      <c r="AA57" s="523">
        <v>0.52416254303661702</v>
      </c>
      <c r="AB57" s="523">
        <v>2.9499318990935599</v>
      </c>
      <c r="AC57" s="523">
        <v>0</v>
      </c>
      <c r="AD57" s="523">
        <v>1.20388497450915</v>
      </c>
      <c r="AE57" s="523">
        <v>4.1538168736027101</v>
      </c>
      <c r="AF57" s="523">
        <v>0.35476303044628499</v>
      </c>
      <c r="AG57" s="523">
        <v>0</v>
      </c>
      <c r="AH57" s="523">
        <v>0.153052945520885</v>
      </c>
      <c r="AI57" s="523">
        <v>0.50781597596716999</v>
      </c>
      <c r="AJ57" s="523">
        <v>998.75421989424797</v>
      </c>
      <c r="AK57" s="523">
        <v>0</v>
      </c>
      <c r="AL57" s="523">
        <v>28.3856631747915</v>
      </c>
      <c r="AM57" s="523">
        <v>1027.13988306903</v>
      </c>
      <c r="AN57" s="523">
        <v>1.5765827250462199E-2</v>
      </c>
      <c r="AO57" s="523">
        <v>0</v>
      </c>
      <c r="AP57" s="523">
        <v>3.4714328551764602E-2</v>
      </c>
      <c r="AQ57" s="523">
        <v>5.0480155802226798E-2</v>
      </c>
      <c r="AR57" s="523">
        <v>3.6875285316277399E-3</v>
      </c>
      <c r="AS57" s="523">
        <v>0</v>
      </c>
      <c r="AT57" s="523">
        <v>6.8539165354307896E-4</v>
      </c>
      <c r="AU57" s="523">
        <v>4.3729201851708203E-3</v>
      </c>
      <c r="AV57" s="523">
        <v>1.79150303029742E-2</v>
      </c>
      <c r="AW57" s="523">
        <v>8.2297170454287999E-2</v>
      </c>
      <c r="AX57" s="523">
        <v>0.104585120942433</v>
      </c>
      <c r="AY57" s="523">
        <v>3.3937865446717901E-3</v>
      </c>
      <c r="AZ57" s="523">
        <v>0</v>
      </c>
      <c r="BA57" s="523">
        <v>6.3110613456018199E-4</v>
      </c>
      <c r="BB57" s="523">
        <v>4.0248926792319697E-3</v>
      </c>
      <c r="BC57" s="523">
        <v>4.4787575757435699E-3</v>
      </c>
      <c r="BD57" s="523">
        <v>3.52702159089806E-2</v>
      </c>
      <c r="BE57" s="523">
        <v>4.37738661639561E-2</v>
      </c>
      <c r="BF57" s="523">
        <v>9.8834826519098393E-3</v>
      </c>
      <c r="BG57" s="523">
        <v>0</v>
      </c>
      <c r="BH57" s="523">
        <v>2.8089914812146099E-4</v>
      </c>
      <c r="BI57" s="523">
        <v>1.01643818000313E-2</v>
      </c>
      <c r="BJ57" s="523">
        <v>2.5247846521362801E-2</v>
      </c>
      <c r="BK57" s="523">
        <v>0</v>
      </c>
      <c r="BL57" s="523">
        <v>1.3238495126900901E-2</v>
      </c>
      <c r="BM57" s="523">
        <v>3.8486341648263797E-2</v>
      </c>
      <c r="BN57" s="528">
        <v>108.417904175583</v>
      </c>
    </row>
    <row r="58" spans="1:66">
      <c r="A58" s="522" t="s">
        <v>264</v>
      </c>
      <c r="B58" s="523">
        <v>2017</v>
      </c>
      <c r="C58" s="523" t="s">
        <v>137</v>
      </c>
      <c r="D58" s="523" t="s">
        <v>131</v>
      </c>
      <c r="E58" s="523" t="s">
        <v>131</v>
      </c>
      <c r="F58" s="523" t="s">
        <v>130</v>
      </c>
      <c r="G58" s="523">
        <v>744.51636079569403</v>
      </c>
      <c r="H58" s="526">
        <v>6980.6103864222396</v>
      </c>
      <c r="I58" s="523">
        <v>74.4814167340013</v>
      </c>
      <c r="J58" s="523">
        <v>1.3667320071663301E-3</v>
      </c>
      <c r="K58" s="523">
        <v>0</v>
      </c>
      <c r="L58" s="523">
        <v>1.71243947855107E-5</v>
      </c>
      <c r="M58" s="523">
        <v>1.38385640195184E-3</v>
      </c>
      <c r="N58" s="523">
        <v>9.8209305909398894E-5</v>
      </c>
      <c r="O58" s="523">
        <v>9.8245518064308194E-6</v>
      </c>
      <c r="P58" s="523">
        <v>2.3610263566168599E-4</v>
      </c>
      <c r="Q58" s="523">
        <v>3.8767626903498802E-5</v>
      </c>
      <c r="R58" s="523">
        <v>1.7667605222328501E-3</v>
      </c>
      <c r="S58" s="523">
        <v>1.85613003489824E-3</v>
      </c>
      <c r="T58" s="523">
        <v>0</v>
      </c>
      <c r="U58" s="523">
        <v>1.8711457511508598E-5</v>
      </c>
      <c r="V58" s="523">
        <v>1.87484149240975E-3</v>
      </c>
      <c r="W58" s="523">
        <v>9.8209305909398894E-5</v>
      </c>
      <c r="X58" s="523">
        <v>9.8245518064267706E-6</v>
      </c>
      <c r="Y58" s="523">
        <v>2.3610263566158901E-4</v>
      </c>
      <c r="Z58" s="523">
        <v>3.8767626903498802E-5</v>
      </c>
      <c r="AA58" s="523">
        <v>2.2577456126906701E-3</v>
      </c>
      <c r="AB58" s="523">
        <v>3.70036684312708E-2</v>
      </c>
      <c r="AC58" s="523">
        <v>0</v>
      </c>
      <c r="AD58" s="523">
        <v>3.0242818910325198E-4</v>
      </c>
      <c r="AE58" s="523">
        <v>3.7306096620373999E-2</v>
      </c>
      <c r="AF58" s="523">
        <v>5.7378862343117499E-3</v>
      </c>
      <c r="AG58" s="523">
        <v>0</v>
      </c>
      <c r="AH58" s="523">
        <v>2.69198700147006E-5</v>
      </c>
      <c r="AI58" s="523">
        <v>5.7648061043264502E-3</v>
      </c>
      <c r="AJ58" s="523">
        <v>14.0766657531194</v>
      </c>
      <c r="AK58" s="523">
        <v>0</v>
      </c>
      <c r="AL58" s="523">
        <v>2.3969664038422998E-3</v>
      </c>
      <c r="AM58" s="523">
        <v>14.079062719523201</v>
      </c>
      <c r="AN58" s="523">
        <v>2.5444851734247902E-4</v>
      </c>
      <c r="AO58" s="523">
        <v>0</v>
      </c>
      <c r="AP58" s="523">
        <v>3.3507770617495402E-6</v>
      </c>
      <c r="AQ58" s="523">
        <v>2.5779929440422898E-4</v>
      </c>
      <c r="AR58" s="523">
        <v>2.0357673228734199E-5</v>
      </c>
      <c r="AS58" s="523">
        <v>0</v>
      </c>
      <c r="AT58" s="523">
        <v>5.9932371289889303E-8</v>
      </c>
      <c r="AU58" s="523">
        <v>2.0417605600024099E-5</v>
      </c>
      <c r="AV58" s="523">
        <v>9.2337669433313897E-5</v>
      </c>
      <c r="AW58" s="523">
        <v>1.00294098616151E-3</v>
      </c>
      <c r="AX58" s="523">
        <v>1.11569626119485E-3</v>
      </c>
      <c r="AY58" s="523">
        <v>1.8794793030911E-5</v>
      </c>
      <c r="AZ58" s="523">
        <v>0</v>
      </c>
      <c r="BA58" s="523">
        <v>5.5716774645350501E-8</v>
      </c>
      <c r="BB58" s="523">
        <v>1.88505098055564E-5</v>
      </c>
      <c r="BC58" s="523">
        <v>2.30844173583284E-5</v>
      </c>
      <c r="BD58" s="523">
        <v>4.2983185121207602E-4</v>
      </c>
      <c r="BE58" s="523">
        <v>4.71766778375961E-4</v>
      </c>
      <c r="BF58" s="523">
        <v>1.3930001896004E-4</v>
      </c>
      <c r="BG58" s="523">
        <v>0</v>
      </c>
      <c r="BH58" s="523">
        <v>2.3719925681109601E-8</v>
      </c>
      <c r="BI58" s="523">
        <v>1.3932373888572101E-4</v>
      </c>
      <c r="BJ58" s="523">
        <v>3.0042851950582599E-4</v>
      </c>
      <c r="BK58" s="523">
        <v>0</v>
      </c>
      <c r="BL58" s="523">
        <v>2.4818767469537998E-6</v>
      </c>
      <c r="BM58" s="523">
        <v>3.0291039625277998E-4</v>
      </c>
      <c r="BN58" s="528">
        <v>1.4860901596445</v>
      </c>
    </row>
    <row r="59" spans="1:66">
      <c r="A59" s="522" t="s">
        <v>264</v>
      </c>
      <c r="B59" s="523">
        <v>2017</v>
      </c>
      <c r="C59" s="523" t="s">
        <v>136</v>
      </c>
      <c r="D59" s="523" t="s">
        <v>131</v>
      </c>
      <c r="E59" s="523" t="s">
        <v>131</v>
      </c>
      <c r="F59" s="523" t="s">
        <v>130</v>
      </c>
      <c r="G59" s="523">
        <v>282.36137310536702</v>
      </c>
      <c r="H59" s="526">
        <v>20142.231878200801</v>
      </c>
      <c r="I59" s="523">
        <v>5649.4863530921903</v>
      </c>
      <c r="J59" s="523">
        <v>2.14778339716809E-3</v>
      </c>
      <c r="K59" s="523">
        <v>2.3153454919046899E-4</v>
      </c>
      <c r="L59" s="523">
        <v>1.15670776882307E-3</v>
      </c>
      <c r="M59" s="523">
        <v>3.53602571518163E-3</v>
      </c>
      <c r="N59" s="523">
        <v>1.05511291295475E-5</v>
      </c>
      <c r="O59" s="523">
        <v>1.69139991924262E-4</v>
      </c>
      <c r="P59" s="523">
        <v>1.74550045973197E-3</v>
      </c>
      <c r="Q59" s="523">
        <v>4.9691889236045701E-6</v>
      </c>
      <c r="R59" s="523">
        <v>5.4661864848910098E-3</v>
      </c>
      <c r="S59" s="523">
        <v>3.06057129007476E-3</v>
      </c>
      <c r="T59" s="523">
        <v>3.37058587302656E-4</v>
      </c>
      <c r="U59" s="523">
        <v>1.2648892269080099E-3</v>
      </c>
      <c r="V59" s="523">
        <v>4.66251910428544E-3</v>
      </c>
      <c r="W59" s="523">
        <v>1.05511291295475E-5</v>
      </c>
      <c r="X59" s="523">
        <v>1.6913999192419299E-4</v>
      </c>
      <c r="Y59" s="523">
        <v>1.7455004597312499E-3</v>
      </c>
      <c r="Z59" s="523">
        <v>4.9691889236045701E-6</v>
      </c>
      <c r="AA59" s="523">
        <v>6.5926798739940297E-3</v>
      </c>
      <c r="AB59" s="523">
        <v>4.9544431247623102E-2</v>
      </c>
      <c r="AC59" s="523">
        <v>1.7897015641671001E-3</v>
      </c>
      <c r="AD59" s="523">
        <v>2.17115347245007E-2</v>
      </c>
      <c r="AE59" s="523">
        <v>7.3045667536290895E-2</v>
      </c>
      <c r="AF59" s="523">
        <v>1.3194900752080799E-2</v>
      </c>
      <c r="AG59" s="523">
        <v>2.0165487915063801E-5</v>
      </c>
      <c r="AH59" s="523">
        <v>2.0177064388430502E-3</v>
      </c>
      <c r="AI59" s="523">
        <v>1.52327726788389E-2</v>
      </c>
      <c r="AJ59" s="523">
        <v>40.960569278561898</v>
      </c>
      <c r="AK59" s="523">
        <v>0.120769301740535</v>
      </c>
      <c r="AL59" s="523">
        <v>0.17565277132740201</v>
      </c>
      <c r="AM59" s="523">
        <v>41.2569913516299</v>
      </c>
      <c r="AN59" s="523">
        <v>4.2921703108031402E-4</v>
      </c>
      <c r="AO59" s="523">
        <v>6.34697975480166E-5</v>
      </c>
      <c r="AP59" s="523">
        <v>2.1610148604885E-4</v>
      </c>
      <c r="AQ59" s="523">
        <v>7.0878831467718103E-4</v>
      </c>
      <c r="AR59" s="523">
        <v>2.0498670413491499E-5</v>
      </c>
      <c r="AS59" s="523">
        <v>0</v>
      </c>
      <c r="AT59" s="523">
        <v>2.2254070456759E-6</v>
      </c>
      <c r="AU59" s="523">
        <v>2.2724077459167401E-5</v>
      </c>
      <c r="AV59" s="523">
        <v>2.6643612031923E-4</v>
      </c>
      <c r="AW59" s="523">
        <v>2.8939403268673702E-3</v>
      </c>
      <c r="AX59" s="523">
        <v>3.1831005246457699E-3</v>
      </c>
      <c r="AY59" s="523">
        <v>1.8888234950851298E-5</v>
      </c>
      <c r="AZ59" s="523">
        <v>0</v>
      </c>
      <c r="BA59" s="523">
        <v>2.07170247692158E-6</v>
      </c>
      <c r="BB59" s="523">
        <v>2.0959937427772899E-5</v>
      </c>
      <c r="BC59" s="523">
        <v>6.6609030079807703E-5</v>
      </c>
      <c r="BD59" s="523">
        <v>1.24026014008602E-3</v>
      </c>
      <c r="BE59" s="523">
        <v>1.3278291075936E-3</v>
      </c>
      <c r="BF59" s="523">
        <v>4.0533803794078901E-4</v>
      </c>
      <c r="BG59" s="523">
        <v>1.1951101430762701E-6</v>
      </c>
      <c r="BH59" s="523">
        <v>1.73822656624979E-6</v>
      </c>
      <c r="BI59" s="523">
        <v>4.0827137465011598E-4</v>
      </c>
      <c r="BJ59" s="523">
        <v>6.4661591379451197E-4</v>
      </c>
      <c r="BK59" s="523">
        <v>1.7813756948244601E-6</v>
      </c>
      <c r="BL59" s="523">
        <v>1.69715476967049E-4</v>
      </c>
      <c r="BM59" s="523">
        <v>8.1811276645638595E-4</v>
      </c>
      <c r="BN59" s="528">
        <v>4.3548075667832302</v>
      </c>
    </row>
    <row r="60" spans="1:66">
      <c r="A60" s="522" t="s">
        <v>264</v>
      </c>
      <c r="B60" s="523">
        <v>2017</v>
      </c>
      <c r="C60" s="523" t="s">
        <v>135</v>
      </c>
      <c r="D60" s="523" t="s">
        <v>131</v>
      </c>
      <c r="E60" s="523" t="s">
        <v>131</v>
      </c>
      <c r="F60" s="523" t="s">
        <v>130</v>
      </c>
      <c r="G60" s="523">
        <v>30.0256111426053</v>
      </c>
      <c r="H60" s="526">
        <v>1866.4948284811101</v>
      </c>
      <c r="I60" s="523">
        <v>120.102444570421</v>
      </c>
      <c r="J60" s="523">
        <v>6.76129768754517E-4</v>
      </c>
      <c r="K60" s="523">
        <v>3.3913305690110702E-4</v>
      </c>
      <c r="L60" s="523">
        <v>7.0828242436613204E-5</v>
      </c>
      <c r="M60" s="523">
        <v>1.08609106809223E-3</v>
      </c>
      <c r="N60" s="523">
        <v>2.8143307358285601E-6</v>
      </c>
      <c r="O60" s="523">
        <v>3.7810879415150997E-5</v>
      </c>
      <c r="P60" s="523">
        <v>4.4577475167724E-4</v>
      </c>
      <c r="Q60" s="523">
        <v>1.0847489683699299E-6</v>
      </c>
      <c r="R60" s="523">
        <v>1.57357577888882E-3</v>
      </c>
      <c r="S60" s="523">
        <v>9.8660697140800602E-4</v>
      </c>
      <c r="T60" s="523">
        <v>4.9486216054335595E-4</v>
      </c>
      <c r="U60" s="523">
        <v>7.7548010161103401E-5</v>
      </c>
      <c r="V60" s="523">
        <v>1.55901714211246E-3</v>
      </c>
      <c r="W60" s="523">
        <v>2.8143307358285601E-6</v>
      </c>
      <c r="X60" s="523">
        <v>3.7810879415135398E-5</v>
      </c>
      <c r="Y60" s="523">
        <v>4.4577475167705699E-4</v>
      </c>
      <c r="Z60" s="523">
        <v>1.0847489683699299E-6</v>
      </c>
      <c r="AA60" s="523">
        <v>2.0465018529088499E-3</v>
      </c>
      <c r="AB60" s="523">
        <v>1.53475909887802E-2</v>
      </c>
      <c r="AC60" s="523">
        <v>2.6434762175594402E-3</v>
      </c>
      <c r="AD60" s="523">
        <v>2.04609284846548E-3</v>
      </c>
      <c r="AE60" s="523">
        <v>2.00371600548052E-2</v>
      </c>
      <c r="AF60" s="523">
        <v>3.6923787398738701E-3</v>
      </c>
      <c r="AG60" s="523">
        <v>2.9799538614425102E-5</v>
      </c>
      <c r="AH60" s="523">
        <v>8.5545442187022602E-5</v>
      </c>
      <c r="AI60" s="523">
        <v>3.80772372067532E-3</v>
      </c>
      <c r="AJ60" s="523">
        <v>1.8513891055268299</v>
      </c>
      <c r="AK60" s="523">
        <v>8.7459680278722807E-2</v>
      </c>
      <c r="AL60" s="523">
        <v>8.0882245541417895E-3</v>
      </c>
      <c r="AM60" s="523">
        <v>1.9469370103596899</v>
      </c>
      <c r="AN60" s="523">
        <v>1.3545262387974099E-4</v>
      </c>
      <c r="AO60" s="523">
        <v>7.4767151858059802E-5</v>
      </c>
      <c r="AP60" s="523">
        <v>1.1648857706072901E-5</v>
      </c>
      <c r="AQ60" s="523">
        <v>2.21868633443873E-4</v>
      </c>
      <c r="AR60" s="523">
        <v>8.7725932357142095E-6</v>
      </c>
      <c r="AS60" s="523">
        <v>0</v>
      </c>
      <c r="AT60" s="523">
        <v>1.9879774562730001E-7</v>
      </c>
      <c r="AU60" s="523">
        <v>8.9713909813415097E-6</v>
      </c>
      <c r="AV60" s="523">
        <v>1.6459666889732801E-5</v>
      </c>
      <c r="AW60" s="523">
        <v>1.5323949672710301E-3</v>
      </c>
      <c r="AX60" s="523">
        <v>1.55782602514211E-3</v>
      </c>
      <c r="AY60" s="523">
        <v>8.0660756596835307E-6</v>
      </c>
      <c r="AZ60" s="523">
        <v>0</v>
      </c>
      <c r="BA60" s="523">
        <v>1.8278718893248301E-7</v>
      </c>
      <c r="BB60" s="523">
        <v>8.2488628486160206E-6</v>
      </c>
      <c r="BC60" s="523">
        <v>4.1149167224332104E-6</v>
      </c>
      <c r="BD60" s="523">
        <v>6.56740700259015E-4</v>
      </c>
      <c r="BE60" s="523">
        <v>6.6910447983006404E-4</v>
      </c>
      <c r="BF60" s="523">
        <v>1.8320996038792E-5</v>
      </c>
      <c r="BG60" s="523">
        <v>8.6548443606863105E-7</v>
      </c>
      <c r="BH60" s="523">
        <v>8.0039538730635796E-8</v>
      </c>
      <c r="BI60" s="523">
        <v>1.92665200135912E-5</v>
      </c>
      <c r="BJ60" s="523">
        <v>1.6265616529349299E-4</v>
      </c>
      <c r="BK60" s="523">
        <v>2.19364848622184E-6</v>
      </c>
      <c r="BL60" s="523">
        <v>5.6809985858036197E-6</v>
      </c>
      <c r="BM60" s="523">
        <v>1.7053081236551899E-4</v>
      </c>
      <c r="BN60" s="528">
        <v>0.205505436702906</v>
      </c>
    </row>
    <row r="61" spans="1:66">
      <c r="A61" s="522" t="s">
        <v>264</v>
      </c>
      <c r="B61" s="523">
        <v>2017</v>
      </c>
      <c r="C61" s="523" t="s">
        <v>134</v>
      </c>
      <c r="D61" s="523" t="s">
        <v>131</v>
      </c>
      <c r="E61" s="523" t="s">
        <v>131</v>
      </c>
      <c r="F61" s="523" t="s">
        <v>130</v>
      </c>
      <c r="G61" s="523">
        <v>752.90138746740797</v>
      </c>
      <c r="H61" s="526">
        <v>44631.513281038402</v>
      </c>
      <c r="I61" s="523">
        <v>15064.050960447899</v>
      </c>
      <c r="J61" s="523">
        <v>1.0821513638264699E-2</v>
      </c>
      <c r="K61" s="523">
        <v>8.2723753102094996E-4</v>
      </c>
      <c r="L61" s="523">
        <v>5.5008259288678698E-3</v>
      </c>
      <c r="M61" s="523">
        <v>1.7149577098153498E-2</v>
      </c>
      <c r="N61" s="523">
        <v>3.9382830939838397E-5</v>
      </c>
      <c r="O61" s="523">
        <v>2.22363329798823E-3</v>
      </c>
      <c r="P61" s="523">
        <v>1.26303745761326E-2</v>
      </c>
      <c r="Q61" s="523">
        <v>2.2271670847576898E-5</v>
      </c>
      <c r="R61" s="523">
        <v>3.2065239474061799E-2</v>
      </c>
      <c r="S61" s="523">
        <v>1.55305310207467E-2</v>
      </c>
      <c r="T61" s="523">
        <v>1.20312552126007E-3</v>
      </c>
      <c r="U61" s="523">
        <v>6.0166730693625298E-3</v>
      </c>
      <c r="V61" s="523">
        <v>2.2750329611369399E-2</v>
      </c>
      <c r="W61" s="523">
        <v>3.9382830939838397E-5</v>
      </c>
      <c r="X61" s="523">
        <v>2.2236332979873102E-3</v>
      </c>
      <c r="Y61" s="523">
        <v>1.2630374576127401E-2</v>
      </c>
      <c r="Z61" s="523">
        <v>2.2271670847576898E-5</v>
      </c>
      <c r="AA61" s="523">
        <v>3.7665991987271497E-2</v>
      </c>
      <c r="AB61" s="523">
        <v>0.259194144662311</v>
      </c>
      <c r="AC61" s="523">
        <v>1.2361271666760199E-2</v>
      </c>
      <c r="AD61" s="523">
        <v>0.112524750304552</v>
      </c>
      <c r="AE61" s="523">
        <v>0.38408016663362399</v>
      </c>
      <c r="AF61" s="523">
        <v>6.4233625943649994E-2</v>
      </c>
      <c r="AG61" s="523">
        <v>7.2372636671963499E-5</v>
      </c>
      <c r="AH61" s="523">
        <v>7.31648176648693E-3</v>
      </c>
      <c r="AI61" s="523">
        <v>7.1622480346808903E-2</v>
      </c>
      <c r="AJ61" s="523">
        <v>90.5669240537691</v>
      </c>
      <c r="AK61" s="523">
        <v>0.46246153232645199</v>
      </c>
      <c r="AL61" s="523">
        <v>0.74678381472883104</v>
      </c>
      <c r="AM61" s="523">
        <v>91.776169400824401</v>
      </c>
      <c r="AN61" s="523">
        <v>2.09800736028396E-3</v>
      </c>
      <c r="AO61" s="523">
        <v>2.0023008190156899E-4</v>
      </c>
      <c r="AP61" s="523">
        <v>9.1079689218921504E-4</v>
      </c>
      <c r="AQ61" s="523">
        <v>3.20903433437475E-3</v>
      </c>
      <c r="AR61" s="523">
        <v>8.6714329160611105E-5</v>
      </c>
      <c r="AS61" s="523">
        <v>0</v>
      </c>
      <c r="AT61" s="523">
        <v>1.3036591612837501E-5</v>
      </c>
      <c r="AU61" s="523">
        <v>9.9750920773448602E-5</v>
      </c>
      <c r="AV61" s="523">
        <v>5.9037386296032803E-4</v>
      </c>
      <c r="AW61" s="523">
        <v>6.4124441081874302E-3</v>
      </c>
      <c r="AX61" s="523">
        <v>7.1025688919212097E-3</v>
      </c>
      <c r="AY61" s="523">
        <v>7.9878143748929897E-5</v>
      </c>
      <c r="AZ61" s="523">
        <v>0</v>
      </c>
      <c r="BA61" s="523">
        <v>1.20808079023522E-5</v>
      </c>
      <c r="BB61" s="523">
        <v>9.1958951651282194E-5</v>
      </c>
      <c r="BC61" s="523">
        <v>1.4759346574008201E-4</v>
      </c>
      <c r="BD61" s="523">
        <v>2.74819033208032E-3</v>
      </c>
      <c r="BE61" s="523">
        <v>2.9877427494716898E-3</v>
      </c>
      <c r="BF61" s="523">
        <v>8.9623313212838502E-4</v>
      </c>
      <c r="BG61" s="523">
        <v>4.5764317595655296E-6</v>
      </c>
      <c r="BH61" s="523">
        <v>7.3900312314885397E-6</v>
      </c>
      <c r="BI61" s="523">
        <v>9.0819959511943902E-4</v>
      </c>
      <c r="BJ61" s="523">
        <v>2.7493455769438801E-3</v>
      </c>
      <c r="BK61" s="523">
        <v>5.0403353127394403E-6</v>
      </c>
      <c r="BL61" s="523">
        <v>4.6554064904362599E-4</v>
      </c>
      <c r="BM61" s="523">
        <v>3.2199265613002499E-3</v>
      </c>
      <c r="BN61" s="528">
        <v>9.6872686025686292</v>
      </c>
    </row>
    <row r="62" spans="1:66">
      <c r="A62" s="522" t="s">
        <v>264</v>
      </c>
      <c r="B62" s="523">
        <v>2017</v>
      </c>
      <c r="C62" s="523" t="s">
        <v>133</v>
      </c>
      <c r="D62" s="523" t="s">
        <v>131</v>
      </c>
      <c r="E62" s="523" t="s">
        <v>131</v>
      </c>
      <c r="F62" s="523" t="s">
        <v>130</v>
      </c>
      <c r="G62" s="523">
        <v>2.2707150365206599</v>
      </c>
      <c r="H62" s="526">
        <v>316.84578994220499</v>
      </c>
      <c r="I62" s="523">
        <v>45.432466450705398</v>
      </c>
      <c r="J62" s="523">
        <v>3.1389329139973999E-4</v>
      </c>
      <c r="K62" s="523">
        <v>0</v>
      </c>
      <c r="L62" s="523">
        <v>1.59538856058273E-7</v>
      </c>
      <c r="M62" s="523">
        <v>3.1405283025579803E-4</v>
      </c>
      <c r="N62" s="523">
        <v>2.05141962954955E-7</v>
      </c>
      <c r="O62" s="523">
        <v>2.2309279769418701E-5</v>
      </c>
      <c r="P62" s="523">
        <v>7.4697586263983696E-5</v>
      </c>
      <c r="Q62" s="523">
        <v>1.2007535945709699E-7</v>
      </c>
      <c r="R62" s="523">
        <v>4.1138491361161203E-4</v>
      </c>
      <c r="S62" s="523">
        <v>4.0497107226835402E-4</v>
      </c>
      <c r="T62" s="523">
        <v>0</v>
      </c>
      <c r="U62" s="523">
        <v>1.7467496587635699E-7</v>
      </c>
      <c r="V62" s="523">
        <v>4.0514574723422999E-4</v>
      </c>
      <c r="W62" s="523">
        <v>2.05141962954955E-7</v>
      </c>
      <c r="X62" s="523">
        <v>2.23092797694096E-5</v>
      </c>
      <c r="Y62" s="523">
        <v>7.4697586263952999E-5</v>
      </c>
      <c r="Z62" s="523">
        <v>1.2007535945709699E-7</v>
      </c>
      <c r="AA62" s="523">
        <v>5.0247783059000496E-4</v>
      </c>
      <c r="AB62" s="523">
        <v>1.52798736035945E-2</v>
      </c>
      <c r="AC62" s="523">
        <v>0</v>
      </c>
      <c r="AD62" s="523">
        <v>1.9879829397616701E-4</v>
      </c>
      <c r="AE62" s="523">
        <v>1.5478671897570601E-2</v>
      </c>
      <c r="AF62" s="523">
        <v>1.3758239345587799E-3</v>
      </c>
      <c r="AG62" s="523">
        <v>0</v>
      </c>
      <c r="AH62" s="523">
        <v>6.8269740156837704E-7</v>
      </c>
      <c r="AI62" s="523">
        <v>1.3765066319603499E-3</v>
      </c>
      <c r="AJ62" s="523">
        <v>0.78254189883829295</v>
      </c>
      <c r="AK62" s="523">
        <v>0</v>
      </c>
      <c r="AL62" s="523">
        <v>3.9402017606857001E-3</v>
      </c>
      <c r="AM62" s="523">
        <v>0.78648210059897905</v>
      </c>
      <c r="AN62" s="523">
        <v>4.9826583284090997E-5</v>
      </c>
      <c r="AO62" s="523">
        <v>0</v>
      </c>
      <c r="AP62" s="523">
        <v>3.0420147009582399E-8</v>
      </c>
      <c r="AQ62" s="523">
        <v>4.9857003431100599E-5</v>
      </c>
      <c r="AR62" s="523">
        <v>6.3409927424615096E-7</v>
      </c>
      <c r="AS62" s="523">
        <v>0</v>
      </c>
      <c r="AT62" s="523">
        <v>2.00741754482386E-7</v>
      </c>
      <c r="AU62" s="523">
        <v>8.3484102872853801E-7</v>
      </c>
      <c r="AV62" s="523">
        <v>6.9852539614413101E-6</v>
      </c>
      <c r="AW62" s="523">
        <v>2.1563478978969301E-5</v>
      </c>
      <c r="AX62" s="523">
        <v>2.93835739691391E-5</v>
      </c>
      <c r="AY62" s="523">
        <v>5.9717532535954795E-7</v>
      </c>
      <c r="AZ62" s="523">
        <v>0</v>
      </c>
      <c r="BA62" s="523">
        <v>1.91115092707101E-7</v>
      </c>
      <c r="BB62" s="523">
        <v>7.8829041806664996E-7</v>
      </c>
      <c r="BC62" s="523">
        <v>1.7463134903603199E-6</v>
      </c>
      <c r="BD62" s="523">
        <v>9.2414909909868494E-6</v>
      </c>
      <c r="BE62" s="523">
        <v>1.1776094899413799E-5</v>
      </c>
      <c r="BF62" s="523">
        <v>7.7438864612555003E-6</v>
      </c>
      <c r="BG62" s="523">
        <v>0</v>
      </c>
      <c r="BH62" s="523">
        <v>3.8991490570007499E-8</v>
      </c>
      <c r="BI62" s="523">
        <v>7.7828779518255003E-6</v>
      </c>
      <c r="BJ62" s="523">
        <v>5.2836090515099397E-5</v>
      </c>
      <c r="BK62" s="523">
        <v>0</v>
      </c>
      <c r="BL62" s="523">
        <v>3.2675349267246897E-8</v>
      </c>
      <c r="BM62" s="523">
        <v>5.2868765864366699E-5</v>
      </c>
      <c r="BN62" s="528">
        <v>8.3015704505381899E-2</v>
      </c>
    </row>
    <row r="63" spans="1:66" ht="14.5" thickBot="1">
      <c r="A63" s="524" t="s">
        <v>264</v>
      </c>
      <c r="B63" s="525">
        <v>2017</v>
      </c>
      <c r="C63" s="525" t="s">
        <v>132</v>
      </c>
      <c r="D63" s="525" t="s">
        <v>131</v>
      </c>
      <c r="E63" s="525" t="s">
        <v>131</v>
      </c>
      <c r="F63" s="525" t="s">
        <v>130</v>
      </c>
      <c r="G63" s="525">
        <v>37.100892811209803</v>
      </c>
      <c r="H63" s="527">
        <v>898.82546770797501</v>
      </c>
      <c r="I63" s="525">
        <v>148.40357124483899</v>
      </c>
      <c r="J63" s="525">
        <v>1.9918674559664201E-5</v>
      </c>
      <c r="K63" s="525">
        <v>0</v>
      </c>
      <c r="L63" s="525">
        <v>7.0499661834289105E-5</v>
      </c>
      <c r="M63" s="525">
        <v>9.0418336393953302E-5</v>
      </c>
      <c r="N63" s="525">
        <v>1.9900319323528001E-7</v>
      </c>
      <c r="O63" s="525">
        <v>2.3375672614718101E-6</v>
      </c>
      <c r="P63" s="525">
        <v>1.24821338571382E-5</v>
      </c>
      <c r="Q63" s="525">
        <v>1.19662153911659E-7</v>
      </c>
      <c r="R63" s="525">
        <v>1.0555670285971E-4</v>
      </c>
      <c r="S63" s="525">
        <v>2.90652831600246E-5</v>
      </c>
      <c r="T63" s="525">
        <v>0</v>
      </c>
      <c r="U63" s="525">
        <v>7.7188255760723005E-5</v>
      </c>
      <c r="V63" s="525">
        <v>1.06253538920747E-4</v>
      </c>
      <c r="W63" s="525">
        <v>1.9900319323528001E-7</v>
      </c>
      <c r="X63" s="525">
        <v>2.3375672614708499E-6</v>
      </c>
      <c r="Y63" s="525">
        <v>1.2482133857133101E-5</v>
      </c>
      <c r="Z63" s="525">
        <v>1.19662153911659E-7</v>
      </c>
      <c r="AA63" s="525">
        <v>1.21391905386498E-4</v>
      </c>
      <c r="AB63" s="525">
        <v>2.8446874011166901E-4</v>
      </c>
      <c r="AC63" s="525">
        <v>0</v>
      </c>
      <c r="AD63" s="525">
        <v>1.3505189384503799E-3</v>
      </c>
      <c r="AE63" s="525">
        <v>1.6349876785620499E-3</v>
      </c>
      <c r="AF63" s="525">
        <v>2.1126332187784499E-4</v>
      </c>
      <c r="AG63" s="525">
        <v>0</v>
      </c>
      <c r="AH63" s="525">
        <v>1.2237120951374099E-4</v>
      </c>
      <c r="AI63" s="525">
        <v>3.3363453139158598E-4</v>
      </c>
      <c r="AJ63" s="525">
        <v>2.0160806761997199</v>
      </c>
      <c r="AK63" s="525">
        <v>0</v>
      </c>
      <c r="AL63" s="525">
        <v>1.5101223090548999E-2</v>
      </c>
      <c r="AM63" s="525">
        <v>2.0311818992902699</v>
      </c>
      <c r="AN63" s="525">
        <v>5.5632643050935202E-6</v>
      </c>
      <c r="AO63" s="525">
        <v>0</v>
      </c>
      <c r="AP63" s="525">
        <v>1.4630405285501899E-5</v>
      </c>
      <c r="AQ63" s="525">
        <v>2.0193669590595499E-5</v>
      </c>
      <c r="AR63" s="525">
        <v>1.12795840941349E-6</v>
      </c>
      <c r="AS63" s="525">
        <v>0</v>
      </c>
      <c r="AT63" s="525">
        <v>7.9446390794106604E-8</v>
      </c>
      <c r="AU63" s="525">
        <v>1.2074048002075899E-6</v>
      </c>
      <c r="AV63" s="525">
        <v>1.0976512437601E-5</v>
      </c>
      <c r="AW63" s="525">
        <v>1.19745103541156E-4</v>
      </c>
      <c r="AX63" s="525">
        <v>1.31929020778964E-4</v>
      </c>
      <c r="AY63" s="525">
        <v>1.03711612140703E-6</v>
      </c>
      <c r="AZ63" s="525">
        <v>0</v>
      </c>
      <c r="BA63" s="525">
        <v>7.30480237502859E-8</v>
      </c>
      <c r="BB63" s="525">
        <v>1.1101641451573201E-6</v>
      </c>
      <c r="BC63" s="525">
        <v>2.7441281094002501E-6</v>
      </c>
      <c r="BD63" s="525">
        <v>5.1319330089066901E-5</v>
      </c>
      <c r="BE63" s="525">
        <v>5.5173622343624499E-5</v>
      </c>
      <c r="BF63" s="525">
        <v>1.99507526388028E-5</v>
      </c>
      <c r="BG63" s="525">
        <v>0</v>
      </c>
      <c r="BH63" s="525">
        <v>1.4943884437741399E-7</v>
      </c>
      <c r="BI63" s="525">
        <v>2.0100191483180299E-5</v>
      </c>
      <c r="BJ63" s="525">
        <v>1.7909425652021999E-5</v>
      </c>
      <c r="BK63" s="525">
        <v>0</v>
      </c>
      <c r="BL63" s="525">
        <v>1.0063700504185E-5</v>
      </c>
      <c r="BM63" s="525">
        <v>2.7973126156207E-5</v>
      </c>
      <c r="BN63" s="529">
        <v>0.214397754532165</v>
      </c>
    </row>
    <row r="64" spans="1:66" ht="14.5" thickBot="1"/>
    <row r="65" spans="6:68" ht="14.5" thickBot="1">
      <c r="F65" s="1307" t="s">
        <v>490</v>
      </c>
      <c r="G65" s="1308"/>
      <c r="H65" s="1308"/>
      <c r="I65" s="1308"/>
      <c r="J65" s="1308"/>
      <c r="K65" s="1308"/>
      <c r="L65" s="1308"/>
      <c r="M65" s="1308"/>
      <c r="N65" s="1308"/>
      <c r="O65" s="1308"/>
      <c r="P65" s="1308"/>
      <c r="Q65" s="1308"/>
      <c r="R65" s="1308"/>
      <c r="S65" s="1308"/>
      <c r="T65" s="1308"/>
      <c r="U65" s="1308"/>
      <c r="V65" s="1308"/>
      <c r="W65" s="1308"/>
      <c r="X65" s="1308"/>
      <c r="Y65" s="1308"/>
      <c r="Z65" s="1308"/>
      <c r="AA65" s="1308"/>
      <c r="AB65" s="1308"/>
      <c r="AC65" s="1308"/>
      <c r="AD65" s="1308"/>
      <c r="AE65" s="1308"/>
      <c r="AF65" s="1308"/>
      <c r="AG65" s="1308"/>
      <c r="AH65" s="1308"/>
      <c r="AI65" s="1308"/>
      <c r="AJ65" s="1308"/>
      <c r="AK65" s="1308"/>
      <c r="AL65" s="1308"/>
      <c r="AM65" s="1308"/>
      <c r="AN65" s="1308"/>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9"/>
    </row>
    <row r="66" spans="6:68">
      <c r="F66" s="65" t="s">
        <v>129</v>
      </c>
      <c r="H66" s="126" t="s">
        <v>128</v>
      </c>
      <c r="BN66" s="126" t="s">
        <v>127</v>
      </c>
      <c r="BO66" s="128" t="s">
        <v>126</v>
      </c>
      <c r="BP66" s="127" t="s">
        <v>235</v>
      </c>
    </row>
    <row r="67" spans="6:68">
      <c r="F67" s="68" t="s">
        <v>125</v>
      </c>
      <c r="H67" s="92">
        <f>SUM(H10:H46)</f>
        <v>774041.68852404982</v>
      </c>
      <c r="BN67" s="9">
        <f>SUM(BN10:BN46)*1000</f>
        <v>74382.312039963042</v>
      </c>
      <c r="BO67" s="91">
        <f>H67/BN67</f>
        <v>10.406260134911967</v>
      </c>
      <c r="BP67" s="73">
        <f>H67/$H$70</f>
        <v>4.3502067017037772E-2</v>
      </c>
    </row>
    <row r="68" spans="6:68">
      <c r="F68" s="68" t="s">
        <v>124</v>
      </c>
      <c r="H68" s="9">
        <f>SUM(H47:H63)</f>
        <v>17019174.625102911</v>
      </c>
      <c r="BN68" s="9">
        <f>SUM(BN47:BN63)*1000</f>
        <v>701229.20785781427</v>
      </c>
      <c r="BO68" s="91">
        <f>H68/BN68</f>
        <v>24.270487359040281</v>
      </c>
      <c r="BP68" s="73">
        <f t="shared" ref="BP68:BP69" si="0">H68/$H$70</f>
        <v>0.95649793298296226</v>
      </c>
    </row>
    <row r="69" spans="6:68" ht="14.5" thickBot="1">
      <c r="F69" s="85" t="s">
        <v>234</v>
      </c>
      <c r="H69" s="87">
        <f>SUM(H47:H50)</f>
        <v>183557.40603143477</v>
      </c>
      <c r="BN69" s="66" t="s">
        <v>27</v>
      </c>
      <c r="BO69" s="76" t="s">
        <v>27</v>
      </c>
      <c r="BP69" s="530">
        <f t="shared" si="0"/>
        <v>1.0316145366639367E-2</v>
      </c>
    </row>
    <row r="70" spans="6:68" ht="14.5" thickBot="1">
      <c r="F70" s="26" t="s">
        <v>265</v>
      </c>
      <c r="H70" s="88">
        <f>SUM(H67:H68)</f>
        <v>17793216.31362696</v>
      </c>
    </row>
    <row r="72" spans="6:68">
      <c r="H72" s="61"/>
    </row>
    <row r="73" spans="6:68">
      <c r="H73" s="61"/>
    </row>
  </sheetData>
  <autoFilter ref="A9:BN9" xr:uid="{D6708353-9608-412D-9906-1D46AF981951}">
    <sortState xmlns:xlrd2="http://schemas.microsoft.com/office/spreadsheetml/2017/richdata2" ref="A10:BN63">
      <sortCondition ref="F9"/>
    </sortState>
  </autoFilter>
  <mergeCells count="1">
    <mergeCell ref="F65:BP65"/>
  </mergeCells>
  <pageMargins left="0.7" right="0.7" top="0.75" bottom="0.75" header="0.3" footer="0.3"/>
  <pageSetup orientation="portrait" r:id="rId1"/>
  <ignoredErrors>
    <ignoredError sqref="H67:BN6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sheetPr>
  <dimension ref="B1:BM73"/>
  <sheetViews>
    <sheetView showGridLines="0" workbookViewId="0">
      <pane ySplit="9" topLeftCell="A31" activePane="bottomLeft" state="frozen"/>
      <selection activeCell="BP64" sqref="BP64"/>
      <selection pane="bottomLeft" activeCell="BK67" sqref="BK67"/>
    </sheetView>
  </sheetViews>
  <sheetFormatPr defaultColWidth="9.08203125" defaultRowHeight="14"/>
  <cols>
    <col min="1" max="1" width="2.58203125" style="58" customWidth="1"/>
    <col min="2" max="2" width="15.08203125" style="58" customWidth="1"/>
    <col min="3" max="3" width="13.6640625" style="58" customWidth="1"/>
    <col min="4" max="4" width="18.1640625" style="58" customWidth="1"/>
    <col min="5" max="6" width="0" style="58" hidden="1" customWidth="1"/>
    <col min="7" max="7" width="13.6640625" style="58" customWidth="1"/>
    <col min="8" max="8" width="0" style="58" hidden="1" customWidth="1"/>
    <col min="9" max="9" width="13.9140625" style="58" customWidth="1"/>
    <col min="10" max="62" width="0" style="58" hidden="1" customWidth="1"/>
    <col min="63" max="63" width="17.4140625" style="58" customWidth="1"/>
    <col min="64" max="64" width="9.08203125" style="58"/>
    <col min="65" max="65" width="20.4140625" style="58" customWidth="1"/>
    <col min="66" max="16384" width="9.08203125" style="58"/>
  </cols>
  <sheetData>
    <row r="1" spans="2:63">
      <c r="B1" s="58" t="s">
        <v>253</v>
      </c>
    </row>
    <row r="2" spans="2:63">
      <c r="B2" s="58" t="s">
        <v>231</v>
      </c>
    </row>
    <row r="3" spans="2:63">
      <c r="B3" s="58" t="s">
        <v>254</v>
      </c>
    </row>
    <row r="4" spans="2:63">
      <c r="B4" s="58" t="s">
        <v>232</v>
      </c>
    </row>
    <row r="5" spans="2:63">
      <c r="B5" s="58" t="s">
        <v>230</v>
      </c>
    </row>
    <row r="6" spans="2:63">
      <c r="B6" s="58" t="s">
        <v>229</v>
      </c>
    </row>
    <row r="7" spans="2:63">
      <c r="B7" s="58" t="s">
        <v>228</v>
      </c>
    </row>
    <row r="8" spans="2:63" ht="14.5" thickBot="1"/>
    <row r="9" spans="2:63" ht="14.5" thickBot="1">
      <c r="B9" s="123" t="s">
        <v>227</v>
      </c>
      <c r="C9" s="124" t="s">
        <v>256</v>
      </c>
      <c r="D9" s="124" t="s">
        <v>257</v>
      </c>
      <c r="E9" s="124" t="s">
        <v>258</v>
      </c>
      <c r="F9" s="124" t="s">
        <v>226</v>
      </c>
      <c r="G9" s="124" t="s">
        <v>225</v>
      </c>
      <c r="H9" s="124" t="s">
        <v>224</v>
      </c>
      <c r="I9" s="124" t="s">
        <v>128</v>
      </c>
      <c r="J9" s="124" t="s">
        <v>223</v>
      </c>
      <c r="K9" s="124" t="s">
        <v>222</v>
      </c>
      <c r="L9" s="124" t="s">
        <v>221</v>
      </c>
      <c r="M9" s="124" t="s">
        <v>220</v>
      </c>
      <c r="N9" s="124" t="s">
        <v>219</v>
      </c>
      <c r="O9" s="124" t="s">
        <v>218</v>
      </c>
      <c r="P9" s="124" t="s">
        <v>217</v>
      </c>
      <c r="Q9" s="124" t="s">
        <v>216</v>
      </c>
      <c r="R9" s="124" t="s">
        <v>215</v>
      </c>
      <c r="S9" s="124" t="s">
        <v>214</v>
      </c>
      <c r="T9" s="124" t="s">
        <v>213</v>
      </c>
      <c r="U9" s="124" t="s">
        <v>212</v>
      </c>
      <c r="V9" s="124" t="s">
        <v>211</v>
      </c>
      <c r="W9" s="124" t="s">
        <v>210</v>
      </c>
      <c r="X9" s="124" t="s">
        <v>209</v>
      </c>
      <c r="Y9" s="124" t="s">
        <v>208</v>
      </c>
      <c r="Z9" s="124" t="s">
        <v>207</v>
      </c>
      <c r="AA9" s="124" t="s">
        <v>206</v>
      </c>
      <c r="AB9" s="124" t="s">
        <v>205</v>
      </c>
      <c r="AC9" s="124" t="s">
        <v>204</v>
      </c>
      <c r="AD9" s="124" t="s">
        <v>203</v>
      </c>
      <c r="AE9" s="124" t="s">
        <v>202</v>
      </c>
      <c r="AF9" s="124" t="s">
        <v>201</v>
      </c>
      <c r="AG9" s="124" t="s">
        <v>200</v>
      </c>
      <c r="AH9" s="124" t="s">
        <v>199</v>
      </c>
      <c r="AI9" s="124" t="s">
        <v>198</v>
      </c>
      <c r="AJ9" s="124" t="s">
        <v>197</v>
      </c>
      <c r="AK9" s="124" t="s">
        <v>196</v>
      </c>
      <c r="AL9" s="124" t="s">
        <v>195</v>
      </c>
      <c r="AM9" s="124" t="s">
        <v>194</v>
      </c>
      <c r="AN9" s="124" t="s">
        <v>193</v>
      </c>
      <c r="AO9" s="124" t="s">
        <v>192</v>
      </c>
      <c r="AP9" s="124" t="s">
        <v>191</v>
      </c>
      <c r="AQ9" s="124" t="s">
        <v>190</v>
      </c>
      <c r="AR9" s="124" t="s">
        <v>189</v>
      </c>
      <c r="AS9" s="124" t="s">
        <v>188</v>
      </c>
      <c r="AT9" s="124" t="s">
        <v>187</v>
      </c>
      <c r="AU9" s="124" t="s">
        <v>186</v>
      </c>
      <c r="AV9" s="124" t="s">
        <v>185</v>
      </c>
      <c r="AW9" s="124" t="s">
        <v>184</v>
      </c>
      <c r="AX9" s="124" t="s">
        <v>183</v>
      </c>
      <c r="AY9" s="124" t="s">
        <v>182</v>
      </c>
      <c r="AZ9" s="124" t="s">
        <v>181</v>
      </c>
      <c r="BA9" s="124" t="s">
        <v>180</v>
      </c>
      <c r="BB9" s="124" t="s">
        <v>179</v>
      </c>
      <c r="BC9" s="124" t="s">
        <v>178</v>
      </c>
      <c r="BD9" s="124" t="s">
        <v>177</v>
      </c>
      <c r="BE9" s="124" t="s">
        <v>176</v>
      </c>
      <c r="BF9" s="124" t="s">
        <v>175</v>
      </c>
      <c r="BG9" s="124" t="s">
        <v>259</v>
      </c>
      <c r="BH9" s="124" t="s">
        <v>260</v>
      </c>
      <c r="BI9" s="124" t="s">
        <v>261</v>
      </c>
      <c r="BJ9" s="124" t="s">
        <v>262</v>
      </c>
      <c r="BK9" s="125" t="s">
        <v>263</v>
      </c>
    </row>
    <row r="10" spans="2:63">
      <c r="B10" s="119" t="s">
        <v>264</v>
      </c>
      <c r="C10" s="120">
        <v>2020</v>
      </c>
      <c r="D10" s="120" t="s">
        <v>174</v>
      </c>
      <c r="E10" s="120" t="s">
        <v>131</v>
      </c>
      <c r="F10" s="120" t="s">
        <v>131</v>
      </c>
      <c r="G10" s="120" t="s">
        <v>146</v>
      </c>
      <c r="H10" s="120">
        <v>573.58896681655494</v>
      </c>
      <c r="I10" s="130">
        <v>36158.790573394901</v>
      </c>
      <c r="J10" s="130">
        <v>4818.1473212590599</v>
      </c>
      <c r="K10" s="130">
        <v>5.2773120180825504E-3</v>
      </c>
      <c r="L10" s="130">
        <v>4.6685352383990698E-5</v>
      </c>
      <c r="M10" s="130">
        <v>0</v>
      </c>
      <c r="N10" s="130">
        <v>5.3239973704665398E-3</v>
      </c>
      <c r="O10" s="130">
        <v>0</v>
      </c>
      <c r="P10" s="130">
        <v>0</v>
      </c>
      <c r="Q10" s="130">
        <v>0</v>
      </c>
      <c r="R10" s="130">
        <v>0</v>
      </c>
      <c r="S10" s="130">
        <v>5.3239973704665398E-3</v>
      </c>
      <c r="T10" s="130">
        <v>6.0078180167953401E-3</v>
      </c>
      <c r="U10" s="130">
        <v>5.3147719939986903E-5</v>
      </c>
      <c r="V10" s="130">
        <v>0</v>
      </c>
      <c r="W10" s="130">
        <v>6.0609657367353201E-3</v>
      </c>
      <c r="X10" s="130">
        <v>0</v>
      </c>
      <c r="Y10" s="130">
        <v>0</v>
      </c>
      <c r="Z10" s="130">
        <v>0</v>
      </c>
      <c r="AA10" s="130">
        <v>0</v>
      </c>
      <c r="AB10" s="130">
        <v>6.0609657367353201E-3</v>
      </c>
      <c r="AC10" s="130">
        <v>1.61337701148755E-2</v>
      </c>
      <c r="AD10" s="130">
        <v>1.2167244405327799E-3</v>
      </c>
      <c r="AE10" s="130">
        <v>0</v>
      </c>
      <c r="AF10" s="130">
        <v>1.73504945554083E-2</v>
      </c>
      <c r="AG10" s="130">
        <v>0.114348420769216</v>
      </c>
      <c r="AH10" s="130">
        <v>2.78444233913718E-3</v>
      </c>
      <c r="AI10" s="130">
        <v>8.7457294284095204E-3</v>
      </c>
      <c r="AJ10" s="130">
        <v>0.12587859253676201</v>
      </c>
      <c r="AK10" s="130">
        <v>45.147800841513401</v>
      </c>
      <c r="AL10" s="130">
        <v>0.41776492825400902</v>
      </c>
      <c r="AM10" s="130">
        <v>0</v>
      </c>
      <c r="AN10" s="130">
        <v>45.565565769767403</v>
      </c>
      <c r="AO10" s="130">
        <v>1.63381544518476E-3</v>
      </c>
      <c r="AP10" s="130">
        <v>6.6148555341645504E-6</v>
      </c>
      <c r="AQ10" s="130">
        <v>0</v>
      </c>
      <c r="AR10" s="130">
        <v>1.64043030071892E-3</v>
      </c>
      <c r="AS10" s="130">
        <v>4.7829892606079298E-4</v>
      </c>
      <c r="AT10" s="130">
        <v>5.19512350189698E-3</v>
      </c>
      <c r="AU10" s="130">
        <v>7.3138527286766997E-3</v>
      </c>
      <c r="AV10" s="130">
        <v>1.56313731224417E-3</v>
      </c>
      <c r="AW10" s="130">
        <v>6.3286998118616599E-6</v>
      </c>
      <c r="AX10" s="130">
        <v>0</v>
      </c>
      <c r="AY10" s="130">
        <v>1.56946601205603E-3</v>
      </c>
      <c r="AZ10" s="130">
        <v>1.19574731515198E-4</v>
      </c>
      <c r="BA10" s="130">
        <v>2.2264815008129898E-3</v>
      </c>
      <c r="BB10" s="130">
        <v>3.9155222443842197E-3</v>
      </c>
      <c r="BC10" s="130">
        <v>4.2653403601280499E-4</v>
      </c>
      <c r="BD10" s="130">
        <v>3.9468358952477702E-6</v>
      </c>
      <c r="BE10" s="130">
        <v>0</v>
      </c>
      <c r="BF10" s="130">
        <v>4.3048087190805298E-4</v>
      </c>
      <c r="BG10" s="130">
        <v>7.0966055721411597E-3</v>
      </c>
      <c r="BH10" s="130">
        <v>6.5666829002366297E-5</v>
      </c>
      <c r="BI10" s="130">
        <v>0</v>
      </c>
      <c r="BJ10" s="130">
        <v>7.1622724011435298E-3</v>
      </c>
      <c r="BK10" s="122">
        <v>4.0609413051446204</v>
      </c>
    </row>
    <row r="11" spans="2:63">
      <c r="B11" s="95" t="s">
        <v>264</v>
      </c>
      <c r="C11" s="106">
        <v>2020</v>
      </c>
      <c r="D11" s="106" t="s">
        <v>144</v>
      </c>
      <c r="E11" s="106" t="s">
        <v>131</v>
      </c>
      <c r="F11" s="106" t="s">
        <v>131</v>
      </c>
      <c r="G11" s="106" t="s">
        <v>146</v>
      </c>
      <c r="H11" s="106">
        <v>2919.16337432508</v>
      </c>
      <c r="I11" s="96">
        <v>95937.256435249306</v>
      </c>
      <c r="J11" s="96">
        <v>13784.1902855923</v>
      </c>
      <c r="K11" s="96">
        <v>1.6799864358695001E-3</v>
      </c>
      <c r="L11" s="96">
        <v>0</v>
      </c>
      <c r="M11" s="96">
        <v>0</v>
      </c>
      <c r="N11" s="96">
        <v>1.6799864358695001E-3</v>
      </c>
      <c r="O11" s="96">
        <v>0</v>
      </c>
      <c r="P11" s="96">
        <v>0</v>
      </c>
      <c r="Q11" s="96">
        <v>0</v>
      </c>
      <c r="R11" s="96">
        <v>0</v>
      </c>
      <c r="S11" s="96">
        <v>1.6799864358695001E-3</v>
      </c>
      <c r="T11" s="96">
        <v>1.91255286415015E-3</v>
      </c>
      <c r="U11" s="96">
        <v>0</v>
      </c>
      <c r="V11" s="96">
        <v>0</v>
      </c>
      <c r="W11" s="96">
        <v>1.91255286415015E-3</v>
      </c>
      <c r="X11" s="96">
        <v>0</v>
      </c>
      <c r="Y11" s="96">
        <v>0</v>
      </c>
      <c r="Z11" s="96">
        <v>0</v>
      </c>
      <c r="AA11" s="96">
        <v>0</v>
      </c>
      <c r="AB11" s="96">
        <v>1.91255286415015E-3</v>
      </c>
      <c r="AC11" s="96">
        <v>2.2772393359037201E-2</v>
      </c>
      <c r="AD11" s="96">
        <v>0</v>
      </c>
      <c r="AE11" s="96">
        <v>0</v>
      </c>
      <c r="AF11" s="96">
        <v>2.2772393359037201E-2</v>
      </c>
      <c r="AG11" s="96">
        <v>1.0555279803140701E-2</v>
      </c>
      <c r="AH11" s="96">
        <v>0</v>
      </c>
      <c r="AI11" s="96">
        <v>0</v>
      </c>
      <c r="AJ11" s="96">
        <v>1.0555279803140701E-2</v>
      </c>
      <c r="AK11" s="96">
        <v>22.418877181157999</v>
      </c>
      <c r="AL11" s="96">
        <v>0</v>
      </c>
      <c r="AM11" s="96">
        <v>0</v>
      </c>
      <c r="AN11" s="96">
        <v>22.418877181157999</v>
      </c>
      <c r="AO11" s="96">
        <v>8.8531950213676302E-4</v>
      </c>
      <c r="AP11" s="96">
        <v>0</v>
      </c>
      <c r="AQ11" s="96">
        <v>0</v>
      </c>
      <c r="AR11" s="96">
        <v>8.8531950213676302E-4</v>
      </c>
      <c r="AS11" s="96">
        <v>8.4602178326103001E-4</v>
      </c>
      <c r="AT11" s="96">
        <v>3.8864125668553601E-3</v>
      </c>
      <c r="AU11" s="96">
        <v>5.6177538522531496E-3</v>
      </c>
      <c r="AV11" s="96">
        <v>8.4702097236625899E-4</v>
      </c>
      <c r="AW11" s="96">
        <v>0</v>
      </c>
      <c r="AX11" s="96">
        <v>0</v>
      </c>
      <c r="AY11" s="96">
        <v>8.4702097236625899E-4</v>
      </c>
      <c r="AZ11" s="96">
        <v>2.1150544581525699E-4</v>
      </c>
      <c r="BA11" s="96">
        <v>1.6656053857951501E-3</v>
      </c>
      <c r="BB11" s="96">
        <v>2.7241318039766698E-3</v>
      </c>
      <c r="BC11" s="96">
        <v>2.1193901270194699E-4</v>
      </c>
      <c r="BD11" s="96">
        <v>0</v>
      </c>
      <c r="BE11" s="96">
        <v>0</v>
      </c>
      <c r="BF11" s="96">
        <v>2.1193901270194699E-4</v>
      </c>
      <c r="BG11" s="96">
        <v>3.5239352916313898E-3</v>
      </c>
      <c r="BH11" s="96">
        <v>0</v>
      </c>
      <c r="BI11" s="96">
        <v>0</v>
      </c>
      <c r="BJ11" s="96">
        <v>3.5239352916313898E-3</v>
      </c>
      <c r="BK11" s="117">
        <v>1.99803827346164</v>
      </c>
    </row>
    <row r="12" spans="2:63">
      <c r="B12" s="95" t="s">
        <v>264</v>
      </c>
      <c r="C12" s="106">
        <v>2020</v>
      </c>
      <c r="D12" s="106" t="s">
        <v>143</v>
      </c>
      <c r="E12" s="106" t="s">
        <v>131</v>
      </c>
      <c r="F12" s="106" t="s">
        <v>131</v>
      </c>
      <c r="G12" s="106" t="s">
        <v>146</v>
      </c>
      <c r="H12" s="106">
        <v>18.3183461179018</v>
      </c>
      <c r="I12" s="96">
        <v>324.99297860905199</v>
      </c>
      <c r="J12" s="96">
        <v>62.256418929671497</v>
      </c>
      <c r="K12" s="96">
        <v>7.6186803264188799E-5</v>
      </c>
      <c r="L12" s="96">
        <v>0</v>
      </c>
      <c r="M12" s="96">
        <v>0</v>
      </c>
      <c r="N12" s="96">
        <v>7.6186803264188799E-5</v>
      </c>
      <c r="O12" s="96">
        <v>0</v>
      </c>
      <c r="P12" s="96">
        <v>0</v>
      </c>
      <c r="Q12" s="96">
        <v>0</v>
      </c>
      <c r="R12" s="96">
        <v>0</v>
      </c>
      <c r="S12" s="96">
        <v>7.6186803264188799E-5</v>
      </c>
      <c r="T12" s="96">
        <v>8.6733610273438905E-5</v>
      </c>
      <c r="U12" s="96">
        <v>0</v>
      </c>
      <c r="V12" s="96">
        <v>0</v>
      </c>
      <c r="W12" s="96">
        <v>8.6733610273438905E-5</v>
      </c>
      <c r="X12" s="96">
        <v>0</v>
      </c>
      <c r="Y12" s="96">
        <v>0</v>
      </c>
      <c r="Z12" s="96">
        <v>0</v>
      </c>
      <c r="AA12" s="96">
        <v>0</v>
      </c>
      <c r="AB12" s="96">
        <v>8.6733610273438905E-5</v>
      </c>
      <c r="AC12" s="96">
        <v>4.19066506910411E-4</v>
      </c>
      <c r="AD12" s="96">
        <v>0</v>
      </c>
      <c r="AE12" s="96">
        <v>0</v>
      </c>
      <c r="AF12" s="96">
        <v>4.19066506910411E-4</v>
      </c>
      <c r="AG12" s="96">
        <v>4.27219553035914E-4</v>
      </c>
      <c r="AH12" s="96">
        <v>0</v>
      </c>
      <c r="AI12" s="96">
        <v>0</v>
      </c>
      <c r="AJ12" s="96">
        <v>4.27219553035914E-4</v>
      </c>
      <c r="AK12" s="96">
        <v>0.14993560736659001</v>
      </c>
      <c r="AL12" s="96">
        <v>0</v>
      </c>
      <c r="AM12" s="96">
        <v>0</v>
      </c>
      <c r="AN12" s="96">
        <v>0.14993560736659001</v>
      </c>
      <c r="AO12" s="96">
        <v>6.0579756067712598E-5</v>
      </c>
      <c r="AP12" s="96">
        <v>0</v>
      </c>
      <c r="AQ12" s="96">
        <v>0</v>
      </c>
      <c r="AR12" s="96">
        <v>6.0579756067712598E-5</v>
      </c>
      <c r="AS12" s="96">
        <v>2.8659474903341198E-6</v>
      </c>
      <c r="AT12" s="96">
        <v>1.31654462837224E-5</v>
      </c>
      <c r="AU12" s="96">
        <v>7.6611149841769095E-5</v>
      </c>
      <c r="AV12" s="96">
        <v>5.7959102636211899E-5</v>
      </c>
      <c r="AW12" s="96">
        <v>0</v>
      </c>
      <c r="AX12" s="96">
        <v>0</v>
      </c>
      <c r="AY12" s="96">
        <v>5.7959102636211899E-5</v>
      </c>
      <c r="AZ12" s="96">
        <v>7.1648687258353197E-7</v>
      </c>
      <c r="BA12" s="96">
        <v>5.6423341215953098E-6</v>
      </c>
      <c r="BB12" s="96">
        <v>6.4317923630390799E-5</v>
      </c>
      <c r="BC12" s="96">
        <v>1.4174306918835799E-6</v>
      </c>
      <c r="BD12" s="96">
        <v>0</v>
      </c>
      <c r="BE12" s="96">
        <v>0</v>
      </c>
      <c r="BF12" s="96">
        <v>1.4174306918835799E-6</v>
      </c>
      <c r="BG12" s="96">
        <v>2.3567789501758799E-5</v>
      </c>
      <c r="BH12" s="96">
        <v>0</v>
      </c>
      <c r="BI12" s="96">
        <v>0</v>
      </c>
      <c r="BJ12" s="96">
        <v>2.3567789501758799E-5</v>
      </c>
      <c r="BK12" s="117">
        <v>1.33627156994706E-2</v>
      </c>
    </row>
    <row r="13" spans="2:63">
      <c r="B13" s="95" t="s">
        <v>264</v>
      </c>
      <c r="C13" s="106">
        <v>2020</v>
      </c>
      <c r="D13" s="106" t="s">
        <v>142</v>
      </c>
      <c r="E13" s="106" t="s">
        <v>131</v>
      </c>
      <c r="F13" s="106" t="s">
        <v>131</v>
      </c>
      <c r="G13" s="106" t="s">
        <v>146</v>
      </c>
      <c r="H13" s="106">
        <v>798.82178980161598</v>
      </c>
      <c r="I13" s="96">
        <v>29635.388104130801</v>
      </c>
      <c r="J13" s="96">
        <v>3969.4587504573001</v>
      </c>
      <c r="K13" s="96">
        <v>4.4306773090968998E-4</v>
      </c>
      <c r="L13" s="96">
        <v>0</v>
      </c>
      <c r="M13" s="96">
        <v>0</v>
      </c>
      <c r="N13" s="96">
        <v>4.4306773090968998E-4</v>
      </c>
      <c r="O13" s="96">
        <v>0</v>
      </c>
      <c r="P13" s="96">
        <v>0</v>
      </c>
      <c r="Q13" s="96">
        <v>0</v>
      </c>
      <c r="R13" s="96">
        <v>0</v>
      </c>
      <c r="S13" s="96">
        <v>4.4306773090968998E-4</v>
      </c>
      <c r="T13" s="96">
        <v>5.0440315449645995E-4</v>
      </c>
      <c r="U13" s="96">
        <v>0</v>
      </c>
      <c r="V13" s="96">
        <v>0</v>
      </c>
      <c r="W13" s="96">
        <v>5.0440315449645995E-4</v>
      </c>
      <c r="X13" s="96">
        <v>0</v>
      </c>
      <c r="Y13" s="96">
        <v>0</v>
      </c>
      <c r="Z13" s="96">
        <v>0</v>
      </c>
      <c r="AA13" s="96">
        <v>0</v>
      </c>
      <c r="AB13" s="96">
        <v>5.0440315449645995E-4</v>
      </c>
      <c r="AC13" s="96">
        <v>3.6685976508455602E-3</v>
      </c>
      <c r="AD13" s="96">
        <v>0</v>
      </c>
      <c r="AE13" s="96">
        <v>0</v>
      </c>
      <c r="AF13" s="96">
        <v>3.6685976508455602E-3</v>
      </c>
      <c r="AG13" s="96">
        <v>1.34575341385167E-3</v>
      </c>
      <c r="AH13" s="96">
        <v>0</v>
      </c>
      <c r="AI13" s="96">
        <v>0</v>
      </c>
      <c r="AJ13" s="96">
        <v>1.34575341385167E-3</v>
      </c>
      <c r="AK13" s="96">
        <v>9.4017111266990305</v>
      </c>
      <c r="AL13" s="96">
        <v>0</v>
      </c>
      <c r="AM13" s="96">
        <v>0</v>
      </c>
      <c r="AN13" s="96">
        <v>9.4017111266990305</v>
      </c>
      <c r="AO13" s="96">
        <v>1.5836369006146599E-4</v>
      </c>
      <c r="AP13" s="96">
        <v>0</v>
      </c>
      <c r="AQ13" s="96">
        <v>0</v>
      </c>
      <c r="AR13" s="96">
        <v>1.5836369006146599E-4</v>
      </c>
      <c r="AS13" s="96">
        <v>2.6133938808653901E-4</v>
      </c>
      <c r="AT13" s="96">
        <v>1.20052781402254E-3</v>
      </c>
      <c r="AU13" s="96">
        <v>1.62023089217054E-3</v>
      </c>
      <c r="AV13" s="96">
        <v>1.51512946930034E-4</v>
      </c>
      <c r="AW13" s="96">
        <v>0</v>
      </c>
      <c r="AX13" s="96">
        <v>0</v>
      </c>
      <c r="AY13" s="96">
        <v>1.51512946930034E-4</v>
      </c>
      <c r="AZ13" s="96">
        <v>6.5334847021634806E-5</v>
      </c>
      <c r="BA13" s="96">
        <v>5.1451192029537403E-4</v>
      </c>
      <c r="BB13" s="96">
        <v>7.31359714247044E-4</v>
      </c>
      <c r="BC13" s="96">
        <v>8.8879980821527201E-5</v>
      </c>
      <c r="BD13" s="96">
        <v>0</v>
      </c>
      <c r="BE13" s="96">
        <v>0</v>
      </c>
      <c r="BF13" s="96">
        <v>8.8879980821527201E-5</v>
      </c>
      <c r="BG13" s="96">
        <v>1.4778180625809E-3</v>
      </c>
      <c r="BH13" s="96">
        <v>0</v>
      </c>
      <c r="BI13" s="96">
        <v>0</v>
      </c>
      <c r="BJ13" s="96">
        <v>1.4778180625809E-3</v>
      </c>
      <c r="BK13" s="117">
        <v>0.83790898693903604</v>
      </c>
    </row>
    <row r="14" spans="2:63">
      <c r="B14" s="95" t="s">
        <v>264</v>
      </c>
      <c r="C14" s="106">
        <v>2020</v>
      </c>
      <c r="D14" s="106" t="s">
        <v>141</v>
      </c>
      <c r="E14" s="106" t="s">
        <v>131</v>
      </c>
      <c r="F14" s="106" t="s">
        <v>131</v>
      </c>
      <c r="G14" s="106" t="s">
        <v>146</v>
      </c>
      <c r="H14" s="106">
        <v>4869.8184772159402</v>
      </c>
      <c r="I14" s="96">
        <v>193763.031245369</v>
      </c>
      <c r="J14" s="96">
        <v>61256.190211732297</v>
      </c>
      <c r="K14" s="96">
        <v>3.1887420444418897E-2</v>
      </c>
      <c r="L14" s="96">
        <v>5.8919607284850105E-4</v>
      </c>
      <c r="M14" s="96">
        <v>0</v>
      </c>
      <c r="N14" s="96">
        <v>3.2476616517267402E-2</v>
      </c>
      <c r="O14" s="96">
        <v>0</v>
      </c>
      <c r="P14" s="96">
        <v>0</v>
      </c>
      <c r="Q14" s="96">
        <v>0</v>
      </c>
      <c r="R14" s="96">
        <v>0</v>
      </c>
      <c r="S14" s="96">
        <v>3.2476616517267402E-2</v>
      </c>
      <c r="T14" s="96">
        <v>3.6301708156214599E-2</v>
      </c>
      <c r="U14" s="96">
        <v>6.7076055652151795E-4</v>
      </c>
      <c r="V14" s="96">
        <v>0</v>
      </c>
      <c r="W14" s="96">
        <v>3.6972468712736198E-2</v>
      </c>
      <c r="X14" s="96">
        <v>0</v>
      </c>
      <c r="Y14" s="96">
        <v>0</v>
      </c>
      <c r="Z14" s="96">
        <v>0</v>
      </c>
      <c r="AA14" s="96">
        <v>0</v>
      </c>
      <c r="AB14" s="96">
        <v>3.6972468712736198E-2</v>
      </c>
      <c r="AC14" s="96">
        <v>0.123939030300974</v>
      </c>
      <c r="AD14" s="96">
        <v>4.8835611037728799E-3</v>
      </c>
      <c r="AE14" s="96">
        <v>0</v>
      </c>
      <c r="AF14" s="96">
        <v>0.128822591404747</v>
      </c>
      <c r="AG14" s="96">
        <v>0.309827327370714</v>
      </c>
      <c r="AH14" s="96">
        <v>1.1248243614715899E-2</v>
      </c>
      <c r="AI14" s="96">
        <v>0</v>
      </c>
      <c r="AJ14" s="96">
        <v>0.32107557098542999</v>
      </c>
      <c r="AK14" s="96">
        <v>116.858478067931</v>
      </c>
      <c r="AL14" s="96">
        <v>0.71538010491615001</v>
      </c>
      <c r="AM14" s="96">
        <v>0</v>
      </c>
      <c r="AN14" s="96">
        <v>117.573858172847</v>
      </c>
      <c r="AO14" s="96">
        <v>4.3103945266012803E-3</v>
      </c>
      <c r="AP14" s="96">
        <v>1.5147957228379101E-4</v>
      </c>
      <c r="AQ14" s="96">
        <v>0</v>
      </c>
      <c r="AR14" s="96">
        <v>4.4618740988850696E-3</v>
      </c>
      <c r="AS14" s="96">
        <v>2.5630461717691998E-3</v>
      </c>
      <c r="AT14" s="96">
        <v>1.63266041141698E-2</v>
      </c>
      <c r="AU14" s="96">
        <v>2.3351524384824001E-2</v>
      </c>
      <c r="AV14" s="96">
        <v>4.1239287674022301E-3</v>
      </c>
      <c r="AW14" s="96">
        <v>1.4492663304012599E-4</v>
      </c>
      <c r="AX14" s="96">
        <v>0</v>
      </c>
      <c r="AY14" s="96">
        <v>4.2688554004423496E-3</v>
      </c>
      <c r="AZ14" s="96">
        <v>6.4076154294229995E-4</v>
      </c>
      <c r="BA14" s="96">
        <v>6.9971160489299099E-3</v>
      </c>
      <c r="BB14" s="96">
        <v>1.1906732992314499E-2</v>
      </c>
      <c r="BC14" s="96">
        <v>1.1047328671921501E-3</v>
      </c>
      <c r="BD14" s="96">
        <v>6.7629146597033999E-6</v>
      </c>
      <c r="BE14" s="96">
        <v>0</v>
      </c>
      <c r="BF14" s="96">
        <v>1.1114957818518501E-3</v>
      </c>
      <c r="BG14" s="96">
        <v>1.8368525402155899E-2</v>
      </c>
      <c r="BH14" s="96">
        <v>1.12447790238296E-4</v>
      </c>
      <c r="BI14" s="96">
        <v>0</v>
      </c>
      <c r="BJ14" s="96">
        <v>1.8480973192394199E-2</v>
      </c>
      <c r="BK14" s="117">
        <v>10.4785385409638</v>
      </c>
    </row>
    <row r="15" spans="2:63">
      <c r="B15" s="95" t="s">
        <v>264</v>
      </c>
      <c r="C15" s="106">
        <v>2020</v>
      </c>
      <c r="D15" s="106" t="s">
        <v>140</v>
      </c>
      <c r="E15" s="106" t="s">
        <v>131</v>
      </c>
      <c r="F15" s="106" t="s">
        <v>131</v>
      </c>
      <c r="G15" s="106" t="s">
        <v>146</v>
      </c>
      <c r="H15" s="106">
        <v>1824.9299809557101</v>
      </c>
      <c r="I15" s="96">
        <v>72595.020097959103</v>
      </c>
      <c r="J15" s="96">
        <v>22955.323398506702</v>
      </c>
      <c r="K15" s="96">
        <v>1.10850433989021E-2</v>
      </c>
      <c r="L15" s="96">
        <v>2.2079705496893699E-4</v>
      </c>
      <c r="M15" s="96">
        <v>0</v>
      </c>
      <c r="N15" s="96">
        <v>1.1305840453871001E-2</v>
      </c>
      <c r="O15" s="96">
        <v>0</v>
      </c>
      <c r="P15" s="96">
        <v>0</v>
      </c>
      <c r="Q15" s="96">
        <v>0</v>
      </c>
      <c r="R15" s="96">
        <v>0</v>
      </c>
      <c r="S15" s="96">
        <v>1.1305840453871001E-2</v>
      </c>
      <c r="T15" s="96">
        <v>1.26195849258904E-2</v>
      </c>
      <c r="U15" s="96">
        <v>2.51362767496513E-4</v>
      </c>
      <c r="V15" s="96">
        <v>0</v>
      </c>
      <c r="W15" s="96">
        <v>1.2870947693386901E-2</v>
      </c>
      <c r="X15" s="96">
        <v>0</v>
      </c>
      <c r="Y15" s="96">
        <v>0</v>
      </c>
      <c r="Z15" s="96">
        <v>0</v>
      </c>
      <c r="AA15" s="96">
        <v>0</v>
      </c>
      <c r="AB15" s="96">
        <v>1.2870947693386901E-2</v>
      </c>
      <c r="AC15" s="96">
        <v>4.2491647031156897E-2</v>
      </c>
      <c r="AD15" s="96">
        <v>1.8300799329176E-3</v>
      </c>
      <c r="AE15" s="96">
        <v>0</v>
      </c>
      <c r="AF15" s="96">
        <v>4.43217269640745E-2</v>
      </c>
      <c r="AG15" s="96">
        <v>8.6015538080062001E-2</v>
      </c>
      <c r="AH15" s="96">
        <v>4.1709675846553296E-3</v>
      </c>
      <c r="AI15" s="96">
        <v>0</v>
      </c>
      <c r="AJ15" s="96">
        <v>9.0186505664717295E-2</v>
      </c>
      <c r="AK15" s="96">
        <v>49.060386486032399</v>
      </c>
      <c r="AL15" s="96">
        <v>0.42837149866868102</v>
      </c>
      <c r="AM15" s="96">
        <v>0</v>
      </c>
      <c r="AN15" s="96">
        <v>49.488757984701103</v>
      </c>
      <c r="AO15" s="96">
        <v>1.4974642243590899E-3</v>
      </c>
      <c r="AP15" s="96">
        <v>5.6926920775663699E-5</v>
      </c>
      <c r="AQ15" s="96">
        <v>0</v>
      </c>
      <c r="AR15" s="96">
        <v>1.5543911451347499E-3</v>
      </c>
      <c r="AS15" s="96">
        <v>9.6026774124916296E-4</v>
      </c>
      <c r="AT15" s="96">
        <v>7.1363897637167001E-3</v>
      </c>
      <c r="AU15" s="96">
        <v>9.6510486501006094E-3</v>
      </c>
      <c r="AV15" s="96">
        <v>1.43268458487474E-3</v>
      </c>
      <c r="AW15" s="96">
        <v>5.4464287381947801E-5</v>
      </c>
      <c r="AX15" s="96">
        <v>0</v>
      </c>
      <c r="AY15" s="96">
        <v>1.48714887225669E-3</v>
      </c>
      <c r="AZ15" s="96">
        <v>2.4006693531229001E-4</v>
      </c>
      <c r="BA15" s="96">
        <v>3.0584527558785799E-3</v>
      </c>
      <c r="BB15" s="96">
        <v>4.7856685634475602E-3</v>
      </c>
      <c r="BC15" s="96">
        <v>4.6379708451074801E-4</v>
      </c>
      <c r="BD15" s="96">
        <v>4.0496511829681101E-6</v>
      </c>
      <c r="BE15" s="96">
        <v>0</v>
      </c>
      <c r="BF15" s="96">
        <v>4.6784673569371602E-4</v>
      </c>
      <c r="BG15" s="96">
        <v>7.7116095494964097E-3</v>
      </c>
      <c r="BH15" s="96">
        <v>6.7334034166363101E-5</v>
      </c>
      <c r="BI15" s="96">
        <v>0</v>
      </c>
      <c r="BJ15" s="96">
        <v>7.77894358366277E-3</v>
      </c>
      <c r="BK15" s="117">
        <v>4.4105880843406897</v>
      </c>
    </row>
    <row r="16" spans="2:63">
      <c r="B16" s="95" t="s">
        <v>264</v>
      </c>
      <c r="C16" s="106">
        <v>2020</v>
      </c>
      <c r="D16" s="106" t="s">
        <v>138</v>
      </c>
      <c r="E16" s="106" t="s">
        <v>131</v>
      </c>
      <c r="F16" s="106" t="s">
        <v>131</v>
      </c>
      <c r="G16" s="106" t="s">
        <v>146</v>
      </c>
      <c r="H16" s="106">
        <v>1790.9245133744801</v>
      </c>
      <c r="I16" s="96">
        <v>67800.248993603396</v>
      </c>
      <c r="J16" s="96">
        <v>8855.9686971060291</v>
      </c>
      <c r="K16" s="96">
        <v>7.7365388734877E-4</v>
      </c>
      <c r="L16" s="96">
        <v>0</v>
      </c>
      <c r="M16" s="96">
        <v>0</v>
      </c>
      <c r="N16" s="96">
        <v>7.7365388734877E-4</v>
      </c>
      <c r="O16" s="96">
        <v>0</v>
      </c>
      <c r="P16" s="96">
        <v>0</v>
      </c>
      <c r="Q16" s="96">
        <v>0</v>
      </c>
      <c r="R16" s="96">
        <v>0</v>
      </c>
      <c r="S16" s="96">
        <v>7.7365388734877E-4</v>
      </c>
      <c r="T16" s="96">
        <v>8.8075351474131399E-4</v>
      </c>
      <c r="U16" s="96">
        <v>0</v>
      </c>
      <c r="V16" s="96">
        <v>0</v>
      </c>
      <c r="W16" s="96">
        <v>8.8075351474131399E-4</v>
      </c>
      <c r="X16" s="96">
        <v>0</v>
      </c>
      <c r="Y16" s="96">
        <v>0</v>
      </c>
      <c r="Z16" s="96">
        <v>0</v>
      </c>
      <c r="AA16" s="96">
        <v>0</v>
      </c>
      <c r="AB16" s="96">
        <v>8.8075351474131399E-4</v>
      </c>
      <c r="AC16" s="96">
        <v>1.29523904991946E-2</v>
      </c>
      <c r="AD16" s="96">
        <v>0</v>
      </c>
      <c r="AE16" s="96">
        <v>0</v>
      </c>
      <c r="AF16" s="96">
        <v>1.29523904991946E-2</v>
      </c>
      <c r="AG16" s="96">
        <v>3.0508428555961402E-3</v>
      </c>
      <c r="AH16" s="96">
        <v>0</v>
      </c>
      <c r="AI16" s="96">
        <v>0</v>
      </c>
      <c r="AJ16" s="96">
        <v>3.0508428555961402E-3</v>
      </c>
      <c r="AK16" s="96">
        <v>28.072741979725102</v>
      </c>
      <c r="AL16" s="96">
        <v>0</v>
      </c>
      <c r="AM16" s="96">
        <v>0</v>
      </c>
      <c r="AN16" s="96">
        <v>28.072741979725102</v>
      </c>
      <c r="AO16" s="96">
        <v>3.2809592398295101E-4</v>
      </c>
      <c r="AP16" s="96">
        <v>0</v>
      </c>
      <c r="AQ16" s="96">
        <v>0</v>
      </c>
      <c r="AR16" s="96">
        <v>3.2809592398295101E-4</v>
      </c>
      <c r="AS16" s="96">
        <v>5.9789585079311096E-4</v>
      </c>
      <c r="AT16" s="96">
        <v>2.74658406458085E-3</v>
      </c>
      <c r="AU16" s="96">
        <v>3.6725758393569099E-3</v>
      </c>
      <c r="AV16" s="96">
        <v>3.1390263954505598E-4</v>
      </c>
      <c r="AW16" s="96">
        <v>0</v>
      </c>
      <c r="AX16" s="96">
        <v>0</v>
      </c>
      <c r="AY16" s="96">
        <v>3.1390263954505598E-4</v>
      </c>
      <c r="AZ16" s="96">
        <v>1.4947396269827701E-4</v>
      </c>
      <c r="BA16" s="96">
        <v>1.1771074562489301E-3</v>
      </c>
      <c r="BB16" s="96">
        <v>1.6404840584922701E-3</v>
      </c>
      <c r="BC16" s="96">
        <v>2.6538836762172302E-4</v>
      </c>
      <c r="BD16" s="96">
        <v>0</v>
      </c>
      <c r="BE16" s="96">
        <v>0</v>
      </c>
      <c r="BF16" s="96">
        <v>2.6538836762172302E-4</v>
      </c>
      <c r="BG16" s="96">
        <v>4.4126441032630399E-3</v>
      </c>
      <c r="BH16" s="96">
        <v>0</v>
      </c>
      <c r="BI16" s="96">
        <v>0</v>
      </c>
      <c r="BJ16" s="96">
        <v>4.4126441032630399E-3</v>
      </c>
      <c r="BK16" s="117">
        <v>2.5019278380116701</v>
      </c>
    </row>
    <row r="17" spans="2:63">
      <c r="B17" s="95" t="s">
        <v>264</v>
      </c>
      <c r="C17" s="106">
        <v>2020</v>
      </c>
      <c r="D17" s="106" t="s">
        <v>137</v>
      </c>
      <c r="E17" s="106" t="s">
        <v>131</v>
      </c>
      <c r="F17" s="106" t="s">
        <v>131</v>
      </c>
      <c r="G17" s="106" t="s">
        <v>146</v>
      </c>
      <c r="H17" s="106">
        <v>332.99295542156102</v>
      </c>
      <c r="I17" s="96">
        <v>3605.3772632015698</v>
      </c>
      <c r="J17" s="96">
        <v>33.299295542156102</v>
      </c>
      <c r="K17" s="96">
        <v>3.56305396591041E-4</v>
      </c>
      <c r="L17" s="96">
        <v>0</v>
      </c>
      <c r="M17" s="96">
        <v>0</v>
      </c>
      <c r="N17" s="96">
        <v>3.56305396591041E-4</v>
      </c>
      <c r="O17" s="96">
        <v>0</v>
      </c>
      <c r="P17" s="96">
        <v>0</v>
      </c>
      <c r="Q17" s="96">
        <v>0</v>
      </c>
      <c r="R17" s="96">
        <v>0</v>
      </c>
      <c r="S17" s="96">
        <v>3.56305396591041E-4</v>
      </c>
      <c r="T17" s="96">
        <v>4.0563000522659501E-4</v>
      </c>
      <c r="U17" s="96">
        <v>0</v>
      </c>
      <c r="V17" s="96">
        <v>0</v>
      </c>
      <c r="W17" s="96">
        <v>4.0563000522659501E-4</v>
      </c>
      <c r="X17" s="96">
        <v>0</v>
      </c>
      <c r="Y17" s="96">
        <v>0</v>
      </c>
      <c r="Z17" s="96">
        <v>0</v>
      </c>
      <c r="AA17" s="96">
        <v>0</v>
      </c>
      <c r="AB17" s="96">
        <v>4.0563000522659501E-4</v>
      </c>
      <c r="AC17" s="96">
        <v>1.2053033776061499E-3</v>
      </c>
      <c r="AD17" s="96">
        <v>0</v>
      </c>
      <c r="AE17" s="96">
        <v>0</v>
      </c>
      <c r="AF17" s="96">
        <v>1.2053033776061499E-3</v>
      </c>
      <c r="AG17" s="96">
        <v>1.37219935042487E-2</v>
      </c>
      <c r="AH17" s="96">
        <v>0</v>
      </c>
      <c r="AI17" s="96">
        <v>0</v>
      </c>
      <c r="AJ17" s="96">
        <v>1.37219935042487E-2</v>
      </c>
      <c r="AK17" s="96">
        <v>4.07468299154944</v>
      </c>
      <c r="AL17" s="96">
        <v>0</v>
      </c>
      <c r="AM17" s="96">
        <v>0</v>
      </c>
      <c r="AN17" s="96">
        <v>4.07468299154944</v>
      </c>
      <c r="AO17" s="96">
        <v>2.6365756954488601E-4</v>
      </c>
      <c r="AP17" s="96">
        <v>0</v>
      </c>
      <c r="AQ17" s="96">
        <v>0</v>
      </c>
      <c r="AR17" s="96">
        <v>2.6365756954488601E-4</v>
      </c>
      <c r="AS17" s="96">
        <v>6.3587970198027304E-5</v>
      </c>
      <c r="AT17" s="96">
        <v>5.1800350222568005E-4</v>
      </c>
      <c r="AU17" s="96">
        <v>8.4524904196859403E-4</v>
      </c>
      <c r="AV17" s="96">
        <v>2.5225185979596299E-4</v>
      </c>
      <c r="AW17" s="96">
        <v>0</v>
      </c>
      <c r="AX17" s="96">
        <v>0</v>
      </c>
      <c r="AY17" s="96">
        <v>2.5225185979596299E-4</v>
      </c>
      <c r="AZ17" s="96">
        <v>1.5896992549506799E-5</v>
      </c>
      <c r="BA17" s="96">
        <v>2.2200150095386199E-4</v>
      </c>
      <c r="BB17" s="96">
        <v>4.90150353299333E-4</v>
      </c>
      <c r="BC17" s="96">
        <v>3.8520407749421301E-5</v>
      </c>
      <c r="BD17" s="96">
        <v>0</v>
      </c>
      <c r="BE17" s="96">
        <v>0</v>
      </c>
      <c r="BF17" s="96">
        <v>3.8520407749421301E-5</v>
      </c>
      <c r="BG17" s="96">
        <v>6.4048342296996099E-4</v>
      </c>
      <c r="BH17" s="96">
        <v>0</v>
      </c>
      <c r="BI17" s="96">
        <v>0</v>
      </c>
      <c r="BJ17" s="96">
        <v>6.4048342296996099E-4</v>
      </c>
      <c r="BK17" s="117">
        <v>0.363148096291877</v>
      </c>
    </row>
    <row r="18" spans="2:63">
      <c r="B18" s="95" t="s">
        <v>264</v>
      </c>
      <c r="C18" s="106">
        <v>2020</v>
      </c>
      <c r="D18" s="106" t="s">
        <v>173</v>
      </c>
      <c r="E18" s="106" t="s">
        <v>131</v>
      </c>
      <c r="F18" s="106" t="s">
        <v>131</v>
      </c>
      <c r="G18" s="106" t="s">
        <v>146</v>
      </c>
      <c r="H18" s="106">
        <v>76.8087346501068</v>
      </c>
      <c r="I18" s="96">
        <v>9808.6676927176704</v>
      </c>
      <c r="J18" s="96">
        <v>1121.40752589156</v>
      </c>
      <c r="K18" s="96">
        <v>2.6151557674132498E-3</v>
      </c>
      <c r="L18" s="96">
        <v>5.2139780063239799E-4</v>
      </c>
      <c r="M18" s="96">
        <v>0</v>
      </c>
      <c r="N18" s="96">
        <v>3.1365535680456399E-3</v>
      </c>
      <c r="O18" s="96">
        <v>0</v>
      </c>
      <c r="P18" s="96">
        <v>0</v>
      </c>
      <c r="Q18" s="96">
        <v>0</v>
      </c>
      <c r="R18" s="96">
        <v>0</v>
      </c>
      <c r="S18" s="96">
        <v>3.1365535680456399E-3</v>
      </c>
      <c r="T18" s="96">
        <v>2.97715577217284E-3</v>
      </c>
      <c r="U18" s="96">
        <v>5.9357170654748001E-4</v>
      </c>
      <c r="V18" s="96">
        <v>0</v>
      </c>
      <c r="W18" s="96">
        <v>3.57072747872032E-3</v>
      </c>
      <c r="X18" s="96">
        <v>0</v>
      </c>
      <c r="Y18" s="96">
        <v>0</v>
      </c>
      <c r="Z18" s="96">
        <v>0</v>
      </c>
      <c r="AA18" s="96">
        <v>0</v>
      </c>
      <c r="AB18" s="96">
        <v>3.57072747872032E-3</v>
      </c>
      <c r="AC18" s="96">
        <v>8.6910287986981406E-3</v>
      </c>
      <c r="AD18" s="96">
        <v>4.7252107861975598E-3</v>
      </c>
      <c r="AE18" s="96">
        <v>0</v>
      </c>
      <c r="AF18" s="96">
        <v>1.34162395848957E-2</v>
      </c>
      <c r="AG18" s="96">
        <v>5.2237073779854801E-2</v>
      </c>
      <c r="AH18" s="96">
        <v>7.8347236686032995E-3</v>
      </c>
      <c r="AI18" s="96">
        <v>1.7619513546690501E-3</v>
      </c>
      <c r="AJ18" s="96">
        <v>6.1833748803127198E-2</v>
      </c>
      <c r="AK18" s="96">
        <v>16.9455056469019</v>
      </c>
      <c r="AL18" s="96">
        <v>0.94652285330421804</v>
      </c>
      <c r="AM18" s="96">
        <v>0</v>
      </c>
      <c r="AN18" s="96">
        <v>17.892028500206202</v>
      </c>
      <c r="AO18" s="96">
        <v>1.2822040692132199E-3</v>
      </c>
      <c r="AP18" s="96">
        <v>3.7872259919557902E-5</v>
      </c>
      <c r="AQ18" s="96">
        <v>0</v>
      </c>
      <c r="AR18" s="96">
        <v>1.3200763291327799E-3</v>
      </c>
      <c r="AS18" s="96">
        <v>1.2974646411337501E-4</v>
      </c>
      <c r="AT18" s="96">
        <v>1.4092628443781101E-3</v>
      </c>
      <c r="AU18" s="96">
        <v>2.8590856376242701E-3</v>
      </c>
      <c r="AV18" s="96">
        <v>1.2267364887543E-3</v>
      </c>
      <c r="AW18" s="96">
        <v>3.6233922719818403E-5</v>
      </c>
      <c r="AX18" s="96">
        <v>0</v>
      </c>
      <c r="AY18" s="96">
        <v>1.2629704114741199E-3</v>
      </c>
      <c r="AZ18" s="96">
        <v>3.2436616028343902E-5</v>
      </c>
      <c r="BA18" s="96">
        <v>6.0396979044776398E-4</v>
      </c>
      <c r="BB18" s="96">
        <v>1.8993768179502201E-3</v>
      </c>
      <c r="BC18" s="96">
        <v>1.6009273499773401E-4</v>
      </c>
      <c r="BD18" s="96">
        <v>8.9422785888383692E-6</v>
      </c>
      <c r="BE18" s="96">
        <v>0</v>
      </c>
      <c r="BF18" s="96">
        <v>1.69035013586572E-4</v>
      </c>
      <c r="BG18" s="96">
        <v>2.6635975076327299E-3</v>
      </c>
      <c r="BH18" s="96">
        <v>1.4878021143260799E-4</v>
      </c>
      <c r="BI18" s="96">
        <v>0</v>
      </c>
      <c r="BJ18" s="96">
        <v>2.8123777190653398E-3</v>
      </c>
      <c r="BK18" s="117">
        <v>1.5945918006689299</v>
      </c>
    </row>
    <row r="19" spans="2:63">
      <c r="B19" s="95" t="s">
        <v>264</v>
      </c>
      <c r="C19" s="106">
        <v>2020</v>
      </c>
      <c r="D19" s="106" t="s">
        <v>172</v>
      </c>
      <c r="E19" s="106" t="s">
        <v>131</v>
      </c>
      <c r="F19" s="106" t="s">
        <v>131</v>
      </c>
      <c r="G19" s="106" t="s">
        <v>146</v>
      </c>
      <c r="H19" s="106">
        <v>0</v>
      </c>
      <c r="I19" s="96">
        <v>3766.4884849555001</v>
      </c>
      <c r="J19" s="96">
        <v>0</v>
      </c>
      <c r="K19" s="96">
        <v>1.6796244278299199E-3</v>
      </c>
      <c r="L19" s="96">
        <v>0</v>
      </c>
      <c r="M19" s="96">
        <v>0</v>
      </c>
      <c r="N19" s="96">
        <v>1.6796244278299199E-3</v>
      </c>
      <c r="O19" s="96">
        <v>0</v>
      </c>
      <c r="P19" s="96">
        <v>0</v>
      </c>
      <c r="Q19" s="96">
        <v>0</v>
      </c>
      <c r="R19" s="96">
        <v>0</v>
      </c>
      <c r="S19" s="96">
        <v>1.6796244278299199E-3</v>
      </c>
      <c r="T19" s="96">
        <v>1.9121245559083999E-3</v>
      </c>
      <c r="U19" s="96">
        <v>0</v>
      </c>
      <c r="V19" s="96">
        <v>0</v>
      </c>
      <c r="W19" s="96">
        <v>1.9121245559083999E-3</v>
      </c>
      <c r="X19" s="96">
        <v>0</v>
      </c>
      <c r="Y19" s="96">
        <v>0</v>
      </c>
      <c r="Z19" s="96">
        <v>0</v>
      </c>
      <c r="AA19" s="96">
        <v>0</v>
      </c>
      <c r="AB19" s="96">
        <v>1.9121245559083999E-3</v>
      </c>
      <c r="AC19" s="96">
        <v>5.69774875011291E-3</v>
      </c>
      <c r="AD19" s="96">
        <v>0</v>
      </c>
      <c r="AE19" s="96">
        <v>0</v>
      </c>
      <c r="AF19" s="96">
        <v>5.69774875011291E-3</v>
      </c>
      <c r="AG19" s="96">
        <v>3.07990154813629E-2</v>
      </c>
      <c r="AH19" s="96">
        <v>0</v>
      </c>
      <c r="AI19" s="96">
        <v>0</v>
      </c>
      <c r="AJ19" s="96">
        <v>3.07990154813629E-2</v>
      </c>
      <c r="AK19" s="96">
        <v>8.8699962237349297</v>
      </c>
      <c r="AL19" s="96">
        <v>0</v>
      </c>
      <c r="AM19" s="96">
        <v>0</v>
      </c>
      <c r="AN19" s="96">
        <v>8.8699962237349297</v>
      </c>
      <c r="AO19" s="96">
        <v>4.34596833487716E-4</v>
      </c>
      <c r="AP19" s="96">
        <v>0</v>
      </c>
      <c r="AQ19" s="96">
        <v>0</v>
      </c>
      <c r="AR19" s="96">
        <v>4.34596833487716E-4</v>
      </c>
      <c r="AS19" s="96">
        <v>0</v>
      </c>
      <c r="AT19" s="96">
        <v>0</v>
      </c>
      <c r="AU19" s="96">
        <v>4.34596833487716E-4</v>
      </c>
      <c r="AV19" s="96">
        <v>4.1579636684790499E-4</v>
      </c>
      <c r="AW19" s="96">
        <v>0</v>
      </c>
      <c r="AX19" s="96">
        <v>0</v>
      </c>
      <c r="AY19" s="96">
        <v>4.1579636684790499E-4</v>
      </c>
      <c r="AZ19" s="96">
        <v>0</v>
      </c>
      <c r="BA19" s="96">
        <v>0</v>
      </c>
      <c r="BB19" s="96">
        <v>4.1579636684790499E-4</v>
      </c>
      <c r="BC19" s="96">
        <v>8.3799326173362694E-5</v>
      </c>
      <c r="BD19" s="96">
        <v>0</v>
      </c>
      <c r="BE19" s="96">
        <v>0</v>
      </c>
      <c r="BF19" s="96">
        <v>8.3799326173362694E-5</v>
      </c>
      <c r="BG19" s="96">
        <v>1.3942398844009401E-3</v>
      </c>
      <c r="BH19" s="96">
        <v>0</v>
      </c>
      <c r="BI19" s="96">
        <v>0</v>
      </c>
      <c r="BJ19" s="96">
        <v>1.3942398844009401E-3</v>
      </c>
      <c r="BK19" s="117">
        <v>0.79052094345641699</v>
      </c>
    </row>
    <row r="20" spans="2:63">
      <c r="B20" s="95" t="s">
        <v>264</v>
      </c>
      <c r="C20" s="106">
        <v>2020</v>
      </c>
      <c r="D20" s="106" t="s">
        <v>135</v>
      </c>
      <c r="E20" s="106" t="s">
        <v>131</v>
      </c>
      <c r="F20" s="106" t="s">
        <v>131</v>
      </c>
      <c r="G20" s="106" t="s">
        <v>146</v>
      </c>
      <c r="H20" s="106">
        <v>189.739950964196</v>
      </c>
      <c r="I20" s="96">
        <v>5963.78162299225</v>
      </c>
      <c r="J20" s="96">
        <v>2189.5727276837702</v>
      </c>
      <c r="K20" s="96">
        <v>8.1301791559239799E-4</v>
      </c>
      <c r="L20" s="96">
        <v>6.4749587729964698E-5</v>
      </c>
      <c r="M20" s="96">
        <v>0</v>
      </c>
      <c r="N20" s="96">
        <v>8.7776750332236198E-4</v>
      </c>
      <c r="O20" s="96">
        <v>0</v>
      </c>
      <c r="P20" s="96">
        <v>0</v>
      </c>
      <c r="Q20" s="96">
        <v>0</v>
      </c>
      <c r="R20" s="96">
        <v>0</v>
      </c>
      <c r="S20" s="96">
        <v>8.7776750332236198E-4</v>
      </c>
      <c r="T20" s="96">
        <v>9.2555900893048001E-4</v>
      </c>
      <c r="U20" s="96">
        <v>7.3712476808504397E-5</v>
      </c>
      <c r="V20" s="96">
        <v>0</v>
      </c>
      <c r="W20" s="96">
        <v>9.992714857389839E-4</v>
      </c>
      <c r="X20" s="96">
        <v>0</v>
      </c>
      <c r="Y20" s="96">
        <v>0</v>
      </c>
      <c r="Z20" s="96">
        <v>0</v>
      </c>
      <c r="AA20" s="96">
        <v>0</v>
      </c>
      <c r="AB20" s="96">
        <v>9.992714857389839E-4</v>
      </c>
      <c r="AC20" s="96">
        <v>2.0373435719029799E-3</v>
      </c>
      <c r="AD20" s="96">
        <v>1.0551963561145901E-3</v>
      </c>
      <c r="AE20" s="96">
        <v>0</v>
      </c>
      <c r="AF20" s="96">
        <v>3.09253992801757E-3</v>
      </c>
      <c r="AG20" s="96">
        <v>5.7602582925009999E-2</v>
      </c>
      <c r="AH20" s="96">
        <v>9.9736800298458102E-3</v>
      </c>
      <c r="AI20" s="96">
        <v>1.3233415346253E-3</v>
      </c>
      <c r="AJ20" s="96">
        <v>6.8899604489481098E-2</v>
      </c>
      <c r="AK20" s="96">
        <v>7.72991856457402</v>
      </c>
      <c r="AL20" s="96">
        <v>0.78229943786302303</v>
      </c>
      <c r="AM20" s="96">
        <v>0</v>
      </c>
      <c r="AN20" s="96">
        <v>8.5122180024370397</v>
      </c>
      <c r="AO20" s="96">
        <v>3.3206764092044602E-4</v>
      </c>
      <c r="AP20" s="96">
        <v>1.41238790321152E-5</v>
      </c>
      <c r="AQ20" s="96">
        <v>0</v>
      </c>
      <c r="AR20" s="96">
        <v>3.4619151995256102E-4</v>
      </c>
      <c r="AS20" s="96">
        <v>7.8887327266888304E-5</v>
      </c>
      <c r="AT20" s="96">
        <v>4.8962734456982002E-3</v>
      </c>
      <c r="AU20" s="96">
        <v>5.3213522929176499E-3</v>
      </c>
      <c r="AV20" s="96">
        <v>3.1770254176594E-4</v>
      </c>
      <c r="AW20" s="96">
        <v>1.3512886277204801E-5</v>
      </c>
      <c r="AX20" s="96">
        <v>0</v>
      </c>
      <c r="AY20" s="96">
        <v>3.3121542804314498E-4</v>
      </c>
      <c r="AZ20" s="96">
        <v>1.9721831816722002E-5</v>
      </c>
      <c r="BA20" s="96">
        <v>2.0984029052992302E-3</v>
      </c>
      <c r="BB20" s="96">
        <v>2.4493401651590899E-3</v>
      </c>
      <c r="BC20" s="96">
        <v>7.3028437752086607E-5</v>
      </c>
      <c r="BD20" s="96">
        <v>7.3907771892058101E-6</v>
      </c>
      <c r="BE20" s="96">
        <v>0</v>
      </c>
      <c r="BF20" s="96">
        <v>8.0419214941292402E-5</v>
      </c>
      <c r="BG20" s="96">
        <v>1.21503555289703E-3</v>
      </c>
      <c r="BH20" s="96">
        <v>1.2296657747096399E-4</v>
      </c>
      <c r="BI20" s="96">
        <v>0</v>
      </c>
      <c r="BJ20" s="96">
        <v>1.3380021303679901E-3</v>
      </c>
      <c r="BK20" s="117">
        <v>0.75863466414868197</v>
      </c>
    </row>
    <row r="21" spans="2:63">
      <c r="B21" s="95" t="s">
        <v>264</v>
      </c>
      <c r="C21" s="106">
        <v>2020</v>
      </c>
      <c r="D21" s="106" t="s">
        <v>171</v>
      </c>
      <c r="E21" s="106" t="s">
        <v>131</v>
      </c>
      <c r="F21" s="106" t="s">
        <v>131</v>
      </c>
      <c r="G21" s="106" t="s">
        <v>146</v>
      </c>
      <c r="H21" s="106">
        <v>3.9936056649826699</v>
      </c>
      <c r="I21" s="96">
        <v>45.058670180649102</v>
      </c>
      <c r="J21" s="96">
        <v>17.571864925923698</v>
      </c>
      <c r="K21" s="96">
        <v>3.3481777033896597E-5</v>
      </c>
      <c r="L21" s="96">
        <v>3.5043286229971E-6</v>
      </c>
      <c r="M21" s="96">
        <v>0</v>
      </c>
      <c r="N21" s="96">
        <v>3.6986105656893697E-5</v>
      </c>
      <c r="O21" s="96">
        <v>0</v>
      </c>
      <c r="P21" s="96">
        <v>0</v>
      </c>
      <c r="Q21" s="96">
        <v>0</v>
      </c>
      <c r="R21" s="96">
        <v>0</v>
      </c>
      <c r="S21" s="96">
        <v>3.6986105656893697E-5</v>
      </c>
      <c r="T21" s="96">
        <v>3.8116454477075798E-5</v>
      </c>
      <c r="U21" s="96">
        <v>3.9894113832714103E-6</v>
      </c>
      <c r="V21" s="96">
        <v>0</v>
      </c>
      <c r="W21" s="96">
        <v>4.2105865860347198E-5</v>
      </c>
      <c r="X21" s="96">
        <v>0</v>
      </c>
      <c r="Y21" s="96">
        <v>0</v>
      </c>
      <c r="Z21" s="96">
        <v>0</v>
      </c>
      <c r="AA21" s="96">
        <v>0</v>
      </c>
      <c r="AB21" s="96">
        <v>4.2105865860347198E-5</v>
      </c>
      <c r="AC21" s="96">
        <v>9.5209400153426497E-5</v>
      </c>
      <c r="AD21" s="96">
        <v>1.94402916533815E-5</v>
      </c>
      <c r="AE21" s="96">
        <v>0</v>
      </c>
      <c r="AF21" s="96">
        <v>1.14649691806808E-4</v>
      </c>
      <c r="AG21" s="96">
        <v>3.8656474666625302E-4</v>
      </c>
      <c r="AH21" s="96">
        <v>4.5796217090941001E-5</v>
      </c>
      <c r="AI21" s="96">
        <v>9.9367773717180693E-6</v>
      </c>
      <c r="AJ21" s="96">
        <v>4.4229774112891201E-4</v>
      </c>
      <c r="AK21" s="96">
        <v>5.4216077195531502E-2</v>
      </c>
      <c r="AL21" s="96">
        <v>2.9384704061494E-3</v>
      </c>
      <c r="AM21" s="96">
        <v>0</v>
      </c>
      <c r="AN21" s="96">
        <v>5.71545476016809E-2</v>
      </c>
      <c r="AO21" s="96">
        <v>2.3245804155201699E-5</v>
      </c>
      <c r="AP21" s="96">
        <v>1.112490460309E-6</v>
      </c>
      <c r="AQ21" s="96">
        <v>0</v>
      </c>
      <c r="AR21" s="96">
        <v>2.4358294615510701E-5</v>
      </c>
      <c r="AS21" s="96">
        <v>5.9602418154409102E-7</v>
      </c>
      <c r="AT21" s="96">
        <v>6.4738159852047402E-6</v>
      </c>
      <c r="AU21" s="96">
        <v>3.1428134782259502E-5</v>
      </c>
      <c r="AV21" s="96">
        <v>2.2240200957340799E-5</v>
      </c>
      <c r="AW21" s="96">
        <v>1.0643646154465401E-6</v>
      </c>
      <c r="AX21" s="96">
        <v>0</v>
      </c>
      <c r="AY21" s="96">
        <v>2.3304565572787401E-5</v>
      </c>
      <c r="AZ21" s="96">
        <v>1.4900604538602201E-7</v>
      </c>
      <c r="BA21" s="96">
        <v>2.7744925650877398E-6</v>
      </c>
      <c r="BB21" s="96">
        <v>2.6228064183261099E-5</v>
      </c>
      <c r="BC21" s="96">
        <v>5.12206614540756E-7</v>
      </c>
      <c r="BD21" s="96">
        <v>2.7761211369715899E-8</v>
      </c>
      <c r="BE21" s="96">
        <v>0</v>
      </c>
      <c r="BF21" s="96">
        <v>5.3996782591047199E-7</v>
      </c>
      <c r="BG21" s="96">
        <v>8.5220123318092297E-6</v>
      </c>
      <c r="BH21" s="96">
        <v>4.6188662723694101E-7</v>
      </c>
      <c r="BI21" s="96">
        <v>0</v>
      </c>
      <c r="BJ21" s="96">
        <v>8.9838989590461699E-6</v>
      </c>
      <c r="BK21" s="117">
        <v>5.0937864857264299E-3</v>
      </c>
    </row>
    <row r="22" spans="2:63">
      <c r="B22" s="95" t="s">
        <v>264</v>
      </c>
      <c r="C22" s="106">
        <v>2020</v>
      </c>
      <c r="D22" s="106" t="s">
        <v>170</v>
      </c>
      <c r="E22" s="106" t="s">
        <v>131</v>
      </c>
      <c r="F22" s="106" t="s">
        <v>131</v>
      </c>
      <c r="G22" s="106" t="s">
        <v>146</v>
      </c>
      <c r="H22" s="106">
        <v>19.605425499271501</v>
      </c>
      <c r="I22" s="96">
        <v>3851.26952202232</v>
      </c>
      <c r="J22" s="96">
        <v>286.23921228936501</v>
      </c>
      <c r="K22" s="96">
        <v>1.81138736228117E-4</v>
      </c>
      <c r="L22" s="96">
        <v>1.4769007218416699E-6</v>
      </c>
      <c r="M22" s="96">
        <v>0</v>
      </c>
      <c r="N22" s="96">
        <v>1.8261563694995899E-4</v>
      </c>
      <c r="O22" s="96">
        <v>0</v>
      </c>
      <c r="P22" s="96">
        <v>0</v>
      </c>
      <c r="Q22" s="96">
        <v>0</v>
      </c>
      <c r="R22" s="96">
        <v>0</v>
      </c>
      <c r="S22" s="96">
        <v>1.8261563694995899E-4</v>
      </c>
      <c r="T22" s="96">
        <v>2.06212662681678E-4</v>
      </c>
      <c r="U22" s="96">
        <v>1.6813390482305301E-6</v>
      </c>
      <c r="V22" s="96">
        <v>0</v>
      </c>
      <c r="W22" s="96">
        <v>2.0789400172990799E-4</v>
      </c>
      <c r="X22" s="96">
        <v>0</v>
      </c>
      <c r="Y22" s="96">
        <v>0</v>
      </c>
      <c r="Z22" s="96">
        <v>0</v>
      </c>
      <c r="AA22" s="96">
        <v>0</v>
      </c>
      <c r="AB22" s="96">
        <v>2.0789400172990799E-4</v>
      </c>
      <c r="AC22" s="96">
        <v>7.3744559556890397E-4</v>
      </c>
      <c r="AD22" s="96">
        <v>4.3168819652368097E-5</v>
      </c>
      <c r="AE22" s="96">
        <v>0</v>
      </c>
      <c r="AF22" s="96">
        <v>7.8061441522127197E-4</v>
      </c>
      <c r="AG22" s="96">
        <v>6.48904814387958E-3</v>
      </c>
      <c r="AH22" s="96">
        <v>9.4037724052902102E-5</v>
      </c>
      <c r="AI22" s="96">
        <v>3.3634743112138297E-4</v>
      </c>
      <c r="AJ22" s="96">
        <v>6.9194332990538598E-3</v>
      </c>
      <c r="AK22" s="96">
        <v>4.0040035693012497</v>
      </c>
      <c r="AL22" s="96">
        <v>1.38290404392215E-2</v>
      </c>
      <c r="AM22" s="96">
        <v>0</v>
      </c>
      <c r="AN22" s="96">
        <v>4.01783260974047</v>
      </c>
      <c r="AO22" s="96">
        <v>1.4115450153755199E-4</v>
      </c>
      <c r="AP22" s="96">
        <v>2.04247284363342E-7</v>
      </c>
      <c r="AQ22" s="96">
        <v>0</v>
      </c>
      <c r="AR22" s="96">
        <v>1.41358748821915E-4</v>
      </c>
      <c r="AS22" s="96">
        <v>5.0943575466522799E-5</v>
      </c>
      <c r="AT22" s="96">
        <v>5.5333213552554903E-4</v>
      </c>
      <c r="AU22" s="96">
        <v>7.45634459813988E-4</v>
      </c>
      <c r="AV22" s="96">
        <v>1.35048220283915E-4</v>
      </c>
      <c r="AW22" s="96">
        <v>1.9541163725305701E-7</v>
      </c>
      <c r="AX22" s="96">
        <v>0</v>
      </c>
      <c r="AY22" s="96">
        <v>1.3524363192116799E-4</v>
      </c>
      <c r="AZ22" s="96">
        <v>1.27358938666307E-5</v>
      </c>
      <c r="BA22" s="96">
        <v>2.3714234379666399E-4</v>
      </c>
      <c r="BB22" s="96">
        <v>3.8512186958446302E-4</v>
      </c>
      <c r="BC22" s="96">
        <v>3.7827840355257802E-5</v>
      </c>
      <c r="BD22" s="96">
        <v>1.3064991700109001E-7</v>
      </c>
      <c r="BE22" s="96">
        <v>0</v>
      </c>
      <c r="BF22" s="96">
        <v>3.7958490272258898E-5</v>
      </c>
      <c r="BG22" s="96">
        <v>6.2937360206145301E-4</v>
      </c>
      <c r="BH22" s="96">
        <v>2.1737325763186699E-6</v>
      </c>
      <c r="BI22" s="96">
        <v>0</v>
      </c>
      <c r="BJ22" s="96">
        <v>6.3154733463777104E-4</v>
      </c>
      <c r="BK22" s="117">
        <v>0.35808141798335402</v>
      </c>
    </row>
    <row r="23" spans="2:63">
      <c r="B23" s="95" t="s">
        <v>264</v>
      </c>
      <c r="C23" s="106">
        <v>2020</v>
      </c>
      <c r="D23" s="106" t="s">
        <v>169</v>
      </c>
      <c r="E23" s="106" t="s">
        <v>131</v>
      </c>
      <c r="F23" s="106" t="s">
        <v>131</v>
      </c>
      <c r="G23" s="106" t="s">
        <v>146</v>
      </c>
      <c r="H23" s="106">
        <v>11.773362837919899</v>
      </c>
      <c r="I23" s="96">
        <v>630.80891507769002</v>
      </c>
      <c r="J23" s="96">
        <v>171.89109743362999</v>
      </c>
      <c r="K23" s="96">
        <v>4.5347570210079401E-5</v>
      </c>
      <c r="L23" s="96">
        <v>9.8129907224922806E-7</v>
      </c>
      <c r="M23" s="96">
        <v>0</v>
      </c>
      <c r="N23" s="96">
        <v>4.6328869282328602E-5</v>
      </c>
      <c r="O23" s="96">
        <v>0</v>
      </c>
      <c r="P23" s="96">
        <v>0</v>
      </c>
      <c r="Q23" s="96">
        <v>0</v>
      </c>
      <c r="R23" s="96">
        <v>0</v>
      </c>
      <c r="S23" s="96">
        <v>4.6328869282328602E-5</v>
      </c>
      <c r="T23" s="96">
        <v>5.16247567686919E-5</v>
      </c>
      <c r="U23" s="96">
        <v>1.11713429600577E-6</v>
      </c>
      <c r="V23" s="96">
        <v>0</v>
      </c>
      <c r="W23" s="96">
        <v>5.2741891064697697E-5</v>
      </c>
      <c r="X23" s="96">
        <v>0</v>
      </c>
      <c r="Y23" s="96">
        <v>0</v>
      </c>
      <c r="Z23" s="96">
        <v>0</v>
      </c>
      <c r="AA23" s="96">
        <v>0</v>
      </c>
      <c r="AB23" s="96">
        <v>5.2741891064697697E-5</v>
      </c>
      <c r="AC23" s="96">
        <v>1.7223908613111201E-4</v>
      </c>
      <c r="AD23" s="96">
        <v>2.6718383635399998E-5</v>
      </c>
      <c r="AE23" s="96">
        <v>0</v>
      </c>
      <c r="AF23" s="96">
        <v>1.98957469766512E-4</v>
      </c>
      <c r="AG23" s="96">
        <v>1.16418445319804E-3</v>
      </c>
      <c r="AH23" s="96">
        <v>5.9496700790344701E-5</v>
      </c>
      <c r="AI23" s="96">
        <v>1.9912782709767199E-4</v>
      </c>
      <c r="AJ23" s="96">
        <v>1.4228089810860601E-3</v>
      </c>
      <c r="AK23" s="96">
        <v>0.682775518425356</v>
      </c>
      <c r="AL23" s="96">
        <v>8.26997477584023E-3</v>
      </c>
      <c r="AM23" s="96">
        <v>0</v>
      </c>
      <c r="AN23" s="96">
        <v>0.69104549320119701</v>
      </c>
      <c r="AO23" s="96">
        <v>3.4304871839892803E-5</v>
      </c>
      <c r="AP23" s="96">
        <v>1.6030804524186601E-7</v>
      </c>
      <c r="AQ23" s="96">
        <v>0</v>
      </c>
      <c r="AR23" s="96">
        <v>3.4465179885134697E-5</v>
      </c>
      <c r="AS23" s="96">
        <v>8.3441736254649508E-6</v>
      </c>
      <c r="AT23" s="96">
        <v>9.0631632528591794E-5</v>
      </c>
      <c r="AU23" s="96">
        <v>1.3344098603919099E-4</v>
      </c>
      <c r="AV23" s="96">
        <v>3.2820858269354202E-5</v>
      </c>
      <c r="AW23" s="96">
        <v>1.5337319016600999E-7</v>
      </c>
      <c r="AX23" s="96">
        <v>0</v>
      </c>
      <c r="AY23" s="96">
        <v>3.2974231459520197E-5</v>
      </c>
      <c r="AZ23" s="96">
        <v>2.0860434063662301E-6</v>
      </c>
      <c r="BA23" s="96">
        <v>3.8842128226539303E-5</v>
      </c>
      <c r="BB23" s="96">
        <v>7.3902403092425796E-5</v>
      </c>
      <c r="BC23" s="96">
        <v>6.4505245468550004E-6</v>
      </c>
      <c r="BD23" s="96">
        <v>7.8130621051640702E-8</v>
      </c>
      <c r="BE23" s="96">
        <v>0</v>
      </c>
      <c r="BF23" s="96">
        <v>6.5286551679066399E-6</v>
      </c>
      <c r="BG23" s="96">
        <v>1.07322803287544E-4</v>
      </c>
      <c r="BH23" s="96">
        <v>1.29992486858253E-6</v>
      </c>
      <c r="BI23" s="96">
        <v>0</v>
      </c>
      <c r="BJ23" s="96">
        <v>1.08622728156126E-4</v>
      </c>
      <c r="BK23" s="117">
        <v>6.1588068526447298E-2</v>
      </c>
    </row>
    <row r="24" spans="2:63">
      <c r="B24" s="95" t="s">
        <v>264</v>
      </c>
      <c r="C24" s="106">
        <v>2020</v>
      </c>
      <c r="D24" s="106" t="s">
        <v>168</v>
      </c>
      <c r="E24" s="106" t="s">
        <v>131</v>
      </c>
      <c r="F24" s="106" t="s">
        <v>131</v>
      </c>
      <c r="G24" s="106" t="s">
        <v>146</v>
      </c>
      <c r="H24" s="106">
        <v>16.524485239955698</v>
      </c>
      <c r="I24" s="96">
        <v>1123.4693285672699</v>
      </c>
      <c r="J24" s="96">
        <v>74.706555299331299</v>
      </c>
      <c r="K24" s="96">
        <v>6.0346890665598403E-4</v>
      </c>
      <c r="L24" s="96">
        <v>1.4464298980322699E-6</v>
      </c>
      <c r="M24" s="96">
        <v>0</v>
      </c>
      <c r="N24" s="96">
        <v>6.0491533655401602E-4</v>
      </c>
      <c r="O24" s="96">
        <v>0</v>
      </c>
      <c r="P24" s="96">
        <v>0</v>
      </c>
      <c r="Q24" s="96">
        <v>0</v>
      </c>
      <c r="R24" s="96">
        <v>0</v>
      </c>
      <c r="S24" s="96">
        <v>6.0491533655401602E-4</v>
      </c>
      <c r="T24" s="96">
        <v>6.8700341339697696E-4</v>
      </c>
      <c r="U24" s="96">
        <v>1.6466503348018999E-6</v>
      </c>
      <c r="V24" s="96">
        <v>0</v>
      </c>
      <c r="W24" s="96">
        <v>6.8865006373177904E-4</v>
      </c>
      <c r="X24" s="96">
        <v>0</v>
      </c>
      <c r="Y24" s="96">
        <v>0</v>
      </c>
      <c r="Z24" s="96">
        <v>0</v>
      </c>
      <c r="AA24" s="96">
        <v>0</v>
      </c>
      <c r="AB24" s="96">
        <v>6.8865006373177904E-4</v>
      </c>
      <c r="AC24" s="96">
        <v>1.26518264379572E-3</v>
      </c>
      <c r="AD24" s="96">
        <v>3.4340535948516402E-5</v>
      </c>
      <c r="AE24" s="96">
        <v>0</v>
      </c>
      <c r="AF24" s="96">
        <v>1.29952317974423E-3</v>
      </c>
      <c r="AG24" s="96">
        <v>6.8398346131136696E-3</v>
      </c>
      <c r="AH24" s="96">
        <v>9.9746145848456606E-5</v>
      </c>
      <c r="AI24" s="96">
        <v>1.4806909508598999E-4</v>
      </c>
      <c r="AJ24" s="96">
        <v>7.0876498540481201E-3</v>
      </c>
      <c r="AK24" s="96">
        <v>1.57896592407887</v>
      </c>
      <c r="AL24" s="96">
        <v>1.21639001318141E-2</v>
      </c>
      <c r="AM24" s="96">
        <v>0</v>
      </c>
      <c r="AN24" s="96">
        <v>1.5911298242106799</v>
      </c>
      <c r="AO24" s="96">
        <v>1.80523165058483E-4</v>
      </c>
      <c r="AP24" s="96">
        <v>2.6193444220954402E-7</v>
      </c>
      <c r="AQ24" s="96">
        <v>0</v>
      </c>
      <c r="AR24" s="96">
        <v>1.8078509950069299E-4</v>
      </c>
      <c r="AS24" s="96">
        <v>1.4860955380276E-5</v>
      </c>
      <c r="AT24" s="96">
        <v>1.61414743688765E-4</v>
      </c>
      <c r="AU24" s="96">
        <v>3.5706079856973402E-4</v>
      </c>
      <c r="AV24" s="96">
        <v>1.7271381284770401E-4</v>
      </c>
      <c r="AW24" s="96">
        <v>2.50603274186395E-7</v>
      </c>
      <c r="AX24" s="96">
        <v>0</v>
      </c>
      <c r="AY24" s="96">
        <v>1.7296441612188999E-4</v>
      </c>
      <c r="AZ24" s="96">
        <v>3.7152388450690199E-6</v>
      </c>
      <c r="BA24" s="96">
        <v>6.9177747295185102E-5</v>
      </c>
      <c r="BB24" s="96">
        <v>2.4585740226214399E-4</v>
      </c>
      <c r="BC24" s="96">
        <v>1.49172871274115E-5</v>
      </c>
      <c r="BD24" s="96">
        <v>1.14918497029178E-7</v>
      </c>
      <c r="BE24" s="96">
        <v>0</v>
      </c>
      <c r="BF24" s="96">
        <v>1.50322056244407E-5</v>
      </c>
      <c r="BG24" s="96">
        <v>2.4819145487006401E-4</v>
      </c>
      <c r="BH24" s="96">
        <v>1.9119957084382999E-6</v>
      </c>
      <c r="BI24" s="96">
        <v>0</v>
      </c>
      <c r="BJ24" s="96">
        <v>2.5010345057850197E-4</v>
      </c>
      <c r="BK24" s="117">
        <v>0.141806311758161</v>
      </c>
    </row>
    <row r="25" spans="2:63">
      <c r="B25" s="95" t="s">
        <v>264</v>
      </c>
      <c r="C25" s="106">
        <v>2020</v>
      </c>
      <c r="D25" s="106" t="s">
        <v>167</v>
      </c>
      <c r="E25" s="106" t="s">
        <v>131</v>
      </c>
      <c r="F25" s="106" t="s">
        <v>131</v>
      </c>
      <c r="G25" s="106" t="s">
        <v>146</v>
      </c>
      <c r="H25" s="106">
        <v>358.98449995005598</v>
      </c>
      <c r="I25" s="96">
        <v>18326.098004954802</v>
      </c>
      <c r="J25" s="96">
        <v>1622.95496698894</v>
      </c>
      <c r="K25" s="96">
        <v>9.4778788940114503E-3</v>
      </c>
      <c r="L25" s="96">
        <v>4.6397940042934997E-5</v>
      </c>
      <c r="M25" s="96">
        <v>0</v>
      </c>
      <c r="N25" s="96">
        <v>9.5242768340543897E-3</v>
      </c>
      <c r="O25" s="96">
        <v>0</v>
      </c>
      <c r="P25" s="96">
        <v>0</v>
      </c>
      <c r="Q25" s="96">
        <v>0</v>
      </c>
      <c r="R25" s="96">
        <v>0</v>
      </c>
      <c r="S25" s="96">
        <v>9.5242768340543897E-3</v>
      </c>
      <c r="T25" s="96">
        <v>1.07898436524765E-2</v>
      </c>
      <c r="U25" s="96">
        <v>5.2820522867892699E-5</v>
      </c>
      <c r="V25" s="96">
        <v>0</v>
      </c>
      <c r="W25" s="96">
        <v>1.0842664175344401E-2</v>
      </c>
      <c r="X25" s="96">
        <v>0</v>
      </c>
      <c r="Y25" s="96">
        <v>0</v>
      </c>
      <c r="Z25" s="96">
        <v>0</v>
      </c>
      <c r="AA25" s="96">
        <v>0</v>
      </c>
      <c r="AB25" s="96">
        <v>1.0842664175344401E-2</v>
      </c>
      <c r="AC25" s="96">
        <v>2.0874666656917E-2</v>
      </c>
      <c r="AD25" s="96">
        <v>8.5032438752085401E-4</v>
      </c>
      <c r="AE25" s="96">
        <v>0</v>
      </c>
      <c r="AF25" s="96">
        <v>2.17249910444379E-2</v>
      </c>
      <c r="AG25" s="96">
        <v>8.9006568579980294E-2</v>
      </c>
      <c r="AH25" s="96">
        <v>2.69327512409964E-3</v>
      </c>
      <c r="AI25" s="96">
        <v>2.7334432596516798E-3</v>
      </c>
      <c r="AJ25" s="96">
        <v>9.44332869637316E-2</v>
      </c>
      <c r="AK25" s="96">
        <v>25.5509851746002</v>
      </c>
      <c r="AL25" s="96">
        <v>0.26616965211584798</v>
      </c>
      <c r="AM25" s="96">
        <v>0</v>
      </c>
      <c r="AN25" s="96">
        <v>25.817154826716099</v>
      </c>
      <c r="AO25" s="96">
        <v>2.88876774829693E-3</v>
      </c>
      <c r="AP25" s="96">
        <v>1.2370483434519701E-5</v>
      </c>
      <c r="AQ25" s="96">
        <v>0</v>
      </c>
      <c r="AR25" s="96">
        <v>2.9011382317314502E-3</v>
      </c>
      <c r="AS25" s="96">
        <v>2.42412781391646E-4</v>
      </c>
      <c r="AT25" s="96">
        <v>2.6330068272156001E-3</v>
      </c>
      <c r="AU25" s="96">
        <v>5.7765578403387004E-3</v>
      </c>
      <c r="AV25" s="96">
        <v>2.7638009342357901E-3</v>
      </c>
      <c r="AW25" s="96">
        <v>1.1835341797010301E-5</v>
      </c>
      <c r="AX25" s="96">
        <v>0</v>
      </c>
      <c r="AY25" s="96">
        <v>2.7756362760328101E-3</v>
      </c>
      <c r="AZ25" s="96">
        <v>6.0603195347911698E-5</v>
      </c>
      <c r="BA25" s="96">
        <v>1.1284314973781101E-3</v>
      </c>
      <c r="BB25" s="96">
        <v>3.9646709687588301E-3</v>
      </c>
      <c r="BC25" s="96">
        <v>2.41393038586379E-4</v>
      </c>
      <c r="BD25" s="96">
        <v>2.5146388941431201E-6</v>
      </c>
      <c r="BE25" s="96">
        <v>0</v>
      </c>
      <c r="BF25" s="96">
        <v>2.4390767748052201E-4</v>
      </c>
      <c r="BG25" s="96">
        <v>4.0162590510285897E-3</v>
      </c>
      <c r="BH25" s="96">
        <v>4.1838162681965197E-5</v>
      </c>
      <c r="BI25" s="96">
        <v>0</v>
      </c>
      <c r="BJ25" s="96">
        <v>4.0580972137105598E-3</v>
      </c>
      <c r="BK25" s="117">
        <v>2.3009030755125002</v>
      </c>
    </row>
    <row r="26" spans="2:63">
      <c r="B26" s="95" t="s">
        <v>264</v>
      </c>
      <c r="C26" s="106">
        <v>2020</v>
      </c>
      <c r="D26" s="106" t="s">
        <v>166</v>
      </c>
      <c r="E26" s="106" t="s">
        <v>131</v>
      </c>
      <c r="F26" s="106" t="s">
        <v>131</v>
      </c>
      <c r="G26" s="106" t="s">
        <v>146</v>
      </c>
      <c r="H26" s="106">
        <v>698.92378460301802</v>
      </c>
      <c r="I26" s="96">
        <v>102115.538056252</v>
      </c>
      <c r="J26" s="96">
        <v>8065.4835722239004</v>
      </c>
      <c r="K26" s="96">
        <v>1.43602575343549E-2</v>
      </c>
      <c r="L26" s="96">
        <v>6.4217429469153503E-5</v>
      </c>
      <c r="M26" s="96">
        <v>0</v>
      </c>
      <c r="N26" s="96">
        <v>1.44244749638241E-2</v>
      </c>
      <c r="O26" s="96">
        <v>0</v>
      </c>
      <c r="P26" s="96">
        <v>0</v>
      </c>
      <c r="Q26" s="96">
        <v>0</v>
      </c>
      <c r="R26" s="96">
        <v>0</v>
      </c>
      <c r="S26" s="96">
        <v>1.44244749638241E-2</v>
      </c>
      <c r="T26" s="96">
        <v>1.6348060081553598E-2</v>
      </c>
      <c r="U26" s="96">
        <v>7.3106655137143605E-5</v>
      </c>
      <c r="V26" s="96">
        <v>0</v>
      </c>
      <c r="W26" s="96">
        <v>1.6421166736690699E-2</v>
      </c>
      <c r="X26" s="96">
        <v>0</v>
      </c>
      <c r="Y26" s="96">
        <v>0</v>
      </c>
      <c r="Z26" s="96">
        <v>0</v>
      </c>
      <c r="AA26" s="96">
        <v>0</v>
      </c>
      <c r="AB26" s="96">
        <v>1.6421166736690699E-2</v>
      </c>
      <c r="AC26" s="96">
        <v>4.3761066877874198E-2</v>
      </c>
      <c r="AD26" s="96">
        <v>1.51002729471045E-3</v>
      </c>
      <c r="AE26" s="96">
        <v>0</v>
      </c>
      <c r="AF26" s="96">
        <v>4.5271094172584597E-2</v>
      </c>
      <c r="AG26" s="96">
        <v>0.29512544229829801</v>
      </c>
      <c r="AH26" s="96">
        <v>4.2207991403940799E-3</v>
      </c>
      <c r="AI26" s="96">
        <v>1.31731680956425E-2</v>
      </c>
      <c r="AJ26" s="96">
        <v>0.31251940953433399</v>
      </c>
      <c r="AK26" s="96">
        <v>115.38780500793</v>
      </c>
      <c r="AL26" s="96">
        <v>0.50394527947694301</v>
      </c>
      <c r="AM26" s="96">
        <v>0</v>
      </c>
      <c r="AN26" s="96">
        <v>115.89175028740701</v>
      </c>
      <c r="AO26" s="96">
        <v>6.2755608340385504E-3</v>
      </c>
      <c r="AP26" s="96">
        <v>1.26588210839774E-5</v>
      </c>
      <c r="AQ26" s="96">
        <v>0</v>
      </c>
      <c r="AR26" s="96">
        <v>6.2882196551225303E-3</v>
      </c>
      <c r="AS26" s="96">
        <v>1.35075735144644E-3</v>
      </c>
      <c r="AT26" s="96">
        <v>1.46714760989607E-2</v>
      </c>
      <c r="AU26" s="96">
        <v>2.23104531055297E-2</v>
      </c>
      <c r="AV26" s="96">
        <v>6.0040828502722996E-3</v>
      </c>
      <c r="AW26" s="96">
        <v>1.21112060873868E-5</v>
      </c>
      <c r="AX26" s="96">
        <v>0</v>
      </c>
      <c r="AY26" s="96">
        <v>6.0161940563596798E-3</v>
      </c>
      <c r="AZ26" s="96">
        <v>3.3768933786161099E-4</v>
      </c>
      <c r="BA26" s="96">
        <v>6.2877754709831897E-3</v>
      </c>
      <c r="BB26" s="96">
        <v>1.26416588652044E-2</v>
      </c>
      <c r="BC26" s="96">
        <v>1.09012676718101E-3</v>
      </c>
      <c r="BD26" s="96">
        <v>4.7610251214552004E-6</v>
      </c>
      <c r="BE26" s="96">
        <v>0</v>
      </c>
      <c r="BF26" s="96">
        <v>1.0948877923024601E-3</v>
      </c>
      <c r="BG26" s="96">
        <v>1.8137356077452E-2</v>
      </c>
      <c r="BH26" s="96">
        <v>7.9213180082558907E-5</v>
      </c>
      <c r="BI26" s="96">
        <v>0</v>
      </c>
      <c r="BJ26" s="96">
        <v>1.82165692575346E-2</v>
      </c>
      <c r="BK26" s="117">
        <v>10.328623988685299</v>
      </c>
    </row>
    <row r="27" spans="2:63">
      <c r="B27" s="95" t="s">
        <v>264</v>
      </c>
      <c r="C27" s="106">
        <v>2020</v>
      </c>
      <c r="D27" s="106" t="s">
        <v>165</v>
      </c>
      <c r="E27" s="106" t="s">
        <v>131</v>
      </c>
      <c r="F27" s="106" t="s">
        <v>131</v>
      </c>
      <c r="G27" s="106" t="s">
        <v>146</v>
      </c>
      <c r="H27" s="106">
        <v>3111.5513440040299</v>
      </c>
      <c r="I27" s="96">
        <v>157424.364509618</v>
      </c>
      <c r="J27" s="96">
        <v>35906.871109630403</v>
      </c>
      <c r="K27" s="96">
        <v>4.1003164104782899E-2</v>
      </c>
      <c r="L27" s="96">
        <v>3.8691726310072097E-4</v>
      </c>
      <c r="M27" s="96">
        <v>0</v>
      </c>
      <c r="N27" s="96">
        <v>4.1390081367883601E-2</v>
      </c>
      <c r="O27" s="96">
        <v>0</v>
      </c>
      <c r="P27" s="96">
        <v>0</v>
      </c>
      <c r="Q27" s="96">
        <v>0</v>
      </c>
      <c r="R27" s="96">
        <v>0</v>
      </c>
      <c r="S27" s="96">
        <v>4.1390081367883601E-2</v>
      </c>
      <c r="T27" s="96">
        <v>4.6678981119603197E-2</v>
      </c>
      <c r="U27" s="96">
        <v>4.40475851399487E-4</v>
      </c>
      <c r="V27" s="96">
        <v>0</v>
      </c>
      <c r="W27" s="96">
        <v>4.7119456971002699E-2</v>
      </c>
      <c r="X27" s="96">
        <v>0</v>
      </c>
      <c r="Y27" s="96">
        <v>0</v>
      </c>
      <c r="Z27" s="96">
        <v>0</v>
      </c>
      <c r="AA27" s="96">
        <v>0</v>
      </c>
      <c r="AB27" s="96">
        <v>4.7119456971002699E-2</v>
      </c>
      <c r="AC27" s="96">
        <v>0.115835410930282</v>
      </c>
      <c r="AD27" s="96">
        <v>7.3925388927206601E-3</v>
      </c>
      <c r="AE27" s="96">
        <v>0</v>
      </c>
      <c r="AF27" s="96">
        <v>0.123227949823003</v>
      </c>
      <c r="AG27" s="96">
        <v>0.57922195267651599</v>
      </c>
      <c r="AH27" s="96">
        <v>2.2094327389818601E-2</v>
      </c>
      <c r="AI27" s="96">
        <v>5.1454379926021199E-2</v>
      </c>
      <c r="AJ27" s="96">
        <v>0.65277065999235595</v>
      </c>
      <c r="AK27" s="96">
        <v>188.245076132213</v>
      </c>
      <c r="AL27" s="96">
        <v>2.2778493684974999</v>
      </c>
      <c r="AM27" s="96">
        <v>0</v>
      </c>
      <c r="AN27" s="96">
        <v>190.52292550070999</v>
      </c>
      <c r="AO27" s="96">
        <v>1.7908708161081699E-2</v>
      </c>
      <c r="AP27" s="96">
        <v>9.9912252447803494E-5</v>
      </c>
      <c r="AQ27" s="96">
        <v>0</v>
      </c>
      <c r="AR27" s="96">
        <v>1.8008620413529498E-2</v>
      </c>
      <c r="AS27" s="96">
        <v>2.0823678913684299E-3</v>
      </c>
      <c r="AT27" s="96">
        <v>2.2617985913413401E-2</v>
      </c>
      <c r="AU27" s="96">
        <v>4.27089742183114E-2</v>
      </c>
      <c r="AV27" s="96">
        <v>1.7133985373429299E-2</v>
      </c>
      <c r="AW27" s="96">
        <v>9.5590092633663094E-5</v>
      </c>
      <c r="AX27" s="96">
        <v>0</v>
      </c>
      <c r="AY27" s="96">
        <v>1.7229575466062901E-2</v>
      </c>
      <c r="AZ27" s="96">
        <v>5.2059197284210802E-4</v>
      </c>
      <c r="BA27" s="96">
        <v>9.6934225343200606E-3</v>
      </c>
      <c r="BB27" s="96">
        <v>2.7443589973225099E-2</v>
      </c>
      <c r="BC27" s="96">
        <v>1.77844613880686E-3</v>
      </c>
      <c r="BD27" s="96">
        <v>2.1519991372007E-5</v>
      </c>
      <c r="BE27" s="96">
        <v>0</v>
      </c>
      <c r="BF27" s="96">
        <v>1.7999661301788699E-3</v>
      </c>
      <c r="BG27" s="96">
        <v>2.9589504500950999E-2</v>
      </c>
      <c r="BH27" s="96">
        <v>3.5804619980767398E-4</v>
      </c>
      <c r="BI27" s="96">
        <v>0</v>
      </c>
      <c r="BJ27" s="96">
        <v>2.9947550700758701E-2</v>
      </c>
      <c r="BK27" s="117">
        <v>16.979980489042301</v>
      </c>
    </row>
    <row r="28" spans="2:63">
      <c r="B28" s="95" t="s">
        <v>264</v>
      </c>
      <c r="C28" s="106">
        <v>2020</v>
      </c>
      <c r="D28" s="106" t="s">
        <v>164</v>
      </c>
      <c r="E28" s="106" t="s">
        <v>131</v>
      </c>
      <c r="F28" s="106" t="s">
        <v>131</v>
      </c>
      <c r="G28" s="106" t="s">
        <v>146</v>
      </c>
      <c r="H28" s="106">
        <v>11.804073309044499</v>
      </c>
      <c r="I28" s="96">
        <v>2355.9955873235199</v>
      </c>
      <c r="J28" s="96">
        <v>172.33947031205</v>
      </c>
      <c r="K28" s="96">
        <v>9.9754903419800903E-5</v>
      </c>
      <c r="L28" s="96">
        <v>8.6495794687809502E-7</v>
      </c>
      <c r="M28" s="96">
        <v>0</v>
      </c>
      <c r="N28" s="96">
        <v>1.00619861366679E-4</v>
      </c>
      <c r="O28" s="96">
        <v>0</v>
      </c>
      <c r="P28" s="96">
        <v>0</v>
      </c>
      <c r="Q28" s="96">
        <v>0</v>
      </c>
      <c r="R28" s="96">
        <v>0</v>
      </c>
      <c r="S28" s="96">
        <v>1.00619861366679E-4</v>
      </c>
      <c r="T28" s="96">
        <v>1.13563364071641E-4</v>
      </c>
      <c r="U28" s="96">
        <v>9.8468878080713095E-7</v>
      </c>
      <c r="V28" s="96">
        <v>0</v>
      </c>
      <c r="W28" s="96">
        <v>1.1454805285244801E-4</v>
      </c>
      <c r="X28" s="96">
        <v>0</v>
      </c>
      <c r="Y28" s="96">
        <v>0</v>
      </c>
      <c r="Z28" s="96">
        <v>0</v>
      </c>
      <c r="AA28" s="96">
        <v>0</v>
      </c>
      <c r="AB28" s="96">
        <v>1.1454805285244801E-4</v>
      </c>
      <c r="AC28" s="96">
        <v>4.2702926801685599E-4</v>
      </c>
      <c r="AD28" s="96">
        <v>2.6191836078353601E-5</v>
      </c>
      <c r="AE28" s="96">
        <v>0</v>
      </c>
      <c r="AF28" s="96">
        <v>4.5322110409521001E-4</v>
      </c>
      <c r="AG28" s="96">
        <v>3.6968547556514601E-3</v>
      </c>
      <c r="AH28" s="96">
        <v>5.4382709734818702E-5</v>
      </c>
      <c r="AI28" s="96">
        <v>2.0749455071860401E-4</v>
      </c>
      <c r="AJ28" s="96">
        <v>3.95873201610488E-3</v>
      </c>
      <c r="AK28" s="96">
        <v>2.43939840025332</v>
      </c>
      <c r="AL28" s="96">
        <v>8.2846729394127593E-3</v>
      </c>
      <c r="AM28" s="96">
        <v>0</v>
      </c>
      <c r="AN28" s="96">
        <v>2.4476830731927302</v>
      </c>
      <c r="AO28" s="96">
        <v>8.16874463643709E-5</v>
      </c>
      <c r="AP28" s="96">
        <v>1.1090044959179901E-7</v>
      </c>
      <c r="AQ28" s="96">
        <v>0</v>
      </c>
      <c r="AR28" s="96">
        <v>8.1798346813962699E-5</v>
      </c>
      <c r="AS28" s="96">
        <v>3.1164487012736002E-5</v>
      </c>
      <c r="AT28" s="96">
        <v>3.38498269770001E-4</v>
      </c>
      <c r="AU28" s="96">
        <v>4.5146110359669899E-4</v>
      </c>
      <c r="AV28" s="96">
        <v>7.8153683594081198E-5</v>
      </c>
      <c r="AW28" s="96">
        <v>1.06102945233201E-7</v>
      </c>
      <c r="AX28" s="96">
        <v>0</v>
      </c>
      <c r="AY28" s="96">
        <v>7.8259786539314403E-5</v>
      </c>
      <c r="AZ28" s="96">
        <v>7.7911217531840004E-6</v>
      </c>
      <c r="BA28" s="96">
        <v>1.4507068704428601E-4</v>
      </c>
      <c r="BB28" s="96">
        <v>2.3112159533678401E-4</v>
      </c>
      <c r="BC28" s="96">
        <v>2.3046226520661501E-5</v>
      </c>
      <c r="BD28" s="96">
        <v>7.8269482013054497E-8</v>
      </c>
      <c r="BE28" s="96">
        <v>0</v>
      </c>
      <c r="BF28" s="96">
        <v>2.3124496002674599E-5</v>
      </c>
      <c r="BG28" s="96">
        <v>3.8343945789696298E-4</v>
      </c>
      <c r="BH28" s="96">
        <v>1.3022352152121499E-6</v>
      </c>
      <c r="BI28" s="96">
        <v>0</v>
      </c>
      <c r="BJ28" s="96">
        <v>3.8474169311217499E-4</v>
      </c>
      <c r="BK28" s="117">
        <v>0.21814493304123</v>
      </c>
    </row>
    <row r="29" spans="2:63">
      <c r="B29" s="95" t="s">
        <v>264</v>
      </c>
      <c r="C29" s="106">
        <v>2020</v>
      </c>
      <c r="D29" s="106" t="s">
        <v>163</v>
      </c>
      <c r="E29" s="106" t="s">
        <v>131</v>
      </c>
      <c r="F29" s="106" t="s">
        <v>131</v>
      </c>
      <c r="G29" s="106" t="s">
        <v>146</v>
      </c>
      <c r="H29" s="106">
        <v>6.1123467539735099</v>
      </c>
      <c r="I29" s="96">
        <v>318.95812562866098</v>
      </c>
      <c r="J29" s="96">
        <v>89.240262608013197</v>
      </c>
      <c r="K29" s="96">
        <v>2.6932273066018299E-5</v>
      </c>
      <c r="L29" s="96">
        <v>5.3960762508643496E-7</v>
      </c>
      <c r="M29" s="96">
        <v>0</v>
      </c>
      <c r="N29" s="96">
        <v>2.7471880691104799E-5</v>
      </c>
      <c r="O29" s="96">
        <v>0</v>
      </c>
      <c r="P29" s="96">
        <v>0</v>
      </c>
      <c r="Q29" s="96">
        <v>0</v>
      </c>
      <c r="R29" s="96">
        <v>0</v>
      </c>
      <c r="S29" s="96">
        <v>2.7471880691104799E-5</v>
      </c>
      <c r="T29" s="96">
        <v>3.0660342766328702E-5</v>
      </c>
      <c r="U29" s="96">
        <v>6.1430220553309601E-7</v>
      </c>
      <c r="V29" s="96">
        <v>0</v>
      </c>
      <c r="W29" s="96">
        <v>3.1274644971861799E-5</v>
      </c>
      <c r="X29" s="96">
        <v>0</v>
      </c>
      <c r="Y29" s="96">
        <v>0</v>
      </c>
      <c r="Z29" s="96">
        <v>0</v>
      </c>
      <c r="AA29" s="96">
        <v>0</v>
      </c>
      <c r="AB29" s="96">
        <v>3.1274644971861799E-5</v>
      </c>
      <c r="AC29" s="96">
        <v>1.0010202174640901E-4</v>
      </c>
      <c r="AD29" s="96">
        <v>1.38781163611443E-5</v>
      </c>
      <c r="AE29" s="96">
        <v>0</v>
      </c>
      <c r="AF29" s="96">
        <v>1.13980138107553E-4</v>
      </c>
      <c r="AG29" s="96">
        <v>6.4794049280073301E-4</v>
      </c>
      <c r="AH29" s="96">
        <v>3.2741038281007098E-5</v>
      </c>
      <c r="AI29" s="96">
        <v>9.9425906403353799E-5</v>
      </c>
      <c r="AJ29" s="96">
        <v>7.8010743748509399E-4</v>
      </c>
      <c r="AK29" s="96">
        <v>0.34808959262025102</v>
      </c>
      <c r="AL29" s="96">
        <v>4.3355637045492E-3</v>
      </c>
      <c r="AM29" s="96">
        <v>0</v>
      </c>
      <c r="AN29" s="96">
        <v>0.35242515632479998</v>
      </c>
      <c r="AO29" s="96">
        <v>2.0214476238348301E-5</v>
      </c>
      <c r="AP29" s="96">
        <v>9.6791589956440198E-8</v>
      </c>
      <c r="AQ29" s="96">
        <v>0</v>
      </c>
      <c r="AR29" s="96">
        <v>2.0311267828304801E-5</v>
      </c>
      <c r="AS29" s="96">
        <v>4.2190937951005797E-6</v>
      </c>
      <c r="AT29" s="96">
        <v>4.5826390437784098E-5</v>
      </c>
      <c r="AU29" s="96">
        <v>7.0356752061189503E-5</v>
      </c>
      <c r="AV29" s="96">
        <v>1.9340006944335299E-5</v>
      </c>
      <c r="AW29" s="96">
        <v>9.2604428620296406E-8</v>
      </c>
      <c r="AX29" s="96">
        <v>0</v>
      </c>
      <c r="AY29" s="96">
        <v>1.9432611372955601E-5</v>
      </c>
      <c r="AZ29" s="96">
        <v>1.05477344877514E-6</v>
      </c>
      <c r="BA29" s="96">
        <v>1.9639881616193199E-5</v>
      </c>
      <c r="BB29" s="96">
        <v>4.0127266437923899E-5</v>
      </c>
      <c r="BC29" s="96">
        <v>3.2885778723877301E-6</v>
      </c>
      <c r="BD29" s="96">
        <v>4.0960256110450502E-8</v>
      </c>
      <c r="BE29" s="96">
        <v>0</v>
      </c>
      <c r="BF29" s="96">
        <v>3.3295381284981802E-6</v>
      </c>
      <c r="BG29" s="96">
        <v>5.4714836526917199E-5</v>
      </c>
      <c r="BH29" s="96">
        <v>6.8149023807569098E-7</v>
      </c>
      <c r="BI29" s="96">
        <v>0</v>
      </c>
      <c r="BJ29" s="96">
        <v>5.5396326764992902E-5</v>
      </c>
      <c r="BK29" s="117">
        <v>3.1409197935187601E-2</v>
      </c>
    </row>
    <row r="30" spans="2:63">
      <c r="B30" s="95" t="s">
        <v>264</v>
      </c>
      <c r="C30" s="106">
        <v>2020</v>
      </c>
      <c r="D30" s="106" t="s">
        <v>162</v>
      </c>
      <c r="E30" s="106" t="s">
        <v>131</v>
      </c>
      <c r="F30" s="106" t="s">
        <v>131</v>
      </c>
      <c r="G30" s="106" t="s">
        <v>146</v>
      </c>
      <c r="H30" s="106">
        <v>382.59368526464101</v>
      </c>
      <c r="I30" s="96">
        <v>5923.4458045821202</v>
      </c>
      <c r="J30" s="96">
        <v>1160.53417747554</v>
      </c>
      <c r="K30" s="96">
        <v>5.4370225660209002E-4</v>
      </c>
      <c r="L30" s="96">
        <v>1.5549920157137799E-4</v>
      </c>
      <c r="M30" s="96">
        <v>0</v>
      </c>
      <c r="N30" s="96">
        <v>6.9920145817346899E-4</v>
      </c>
      <c r="O30" s="96">
        <v>0</v>
      </c>
      <c r="P30" s="96">
        <v>0</v>
      </c>
      <c r="Q30" s="96">
        <v>0</v>
      </c>
      <c r="R30" s="96">
        <v>0</v>
      </c>
      <c r="S30" s="96">
        <v>6.9920145817346899E-4</v>
      </c>
      <c r="T30" s="96">
        <v>6.1896363182504296E-4</v>
      </c>
      <c r="U30" s="96">
        <v>1.7702400418940001E-4</v>
      </c>
      <c r="V30" s="96">
        <v>0</v>
      </c>
      <c r="W30" s="96">
        <v>7.95987636014443E-4</v>
      </c>
      <c r="X30" s="96">
        <v>0</v>
      </c>
      <c r="Y30" s="96">
        <v>0</v>
      </c>
      <c r="Z30" s="96">
        <v>0</v>
      </c>
      <c r="AA30" s="96">
        <v>0</v>
      </c>
      <c r="AB30" s="96">
        <v>7.95987636014443E-4</v>
      </c>
      <c r="AC30" s="96">
        <v>1.44327100465603E-3</v>
      </c>
      <c r="AD30" s="96">
        <v>2.6884161734613199E-3</v>
      </c>
      <c r="AE30" s="96">
        <v>0</v>
      </c>
      <c r="AF30" s="96">
        <v>4.1316871781173596E-3</v>
      </c>
      <c r="AG30" s="96">
        <v>3.8763815889427497E-2</v>
      </c>
      <c r="AH30" s="96">
        <v>1.66000832261184E-2</v>
      </c>
      <c r="AI30" s="96">
        <v>1.6701452690512501E-3</v>
      </c>
      <c r="AJ30" s="96">
        <v>5.7034044384597297E-2</v>
      </c>
      <c r="AK30" s="96">
        <v>7.8613757388144796</v>
      </c>
      <c r="AL30" s="96">
        <v>1.47168776407455</v>
      </c>
      <c r="AM30" s="96">
        <v>0</v>
      </c>
      <c r="AN30" s="96">
        <v>9.3330635028890399</v>
      </c>
      <c r="AO30" s="96">
        <v>2.1830058105832E-4</v>
      </c>
      <c r="AP30" s="96">
        <v>3.1359740180653398E-5</v>
      </c>
      <c r="AQ30" s="96">
        <v>0</v>
      </c>
      <c r="AR30" s="96">
        <v>2.4966032123897403E-4</v>
      </c>
      <c r="AS30" s="96">
        <v>7.8353775720461905E-5</v>
      </c>
      <c r="AT30" s="96">
        <v>8.5105259395041699E-4</v>
      </c>
      <c r="AU30" s="96">
        <v>1.17906669090985E-3</v>
      </c>
      <c r="AV30" s="96">
        <v>2.08856994553785E-4</v>
      </c>
      <c r="AW30" s="96">
        <v>3.0003131702013499E-5</v>
      </c>
      <c r="AX30" s="96">
        <v>0</v>
      </c>
      <c r="AY30" s="96">
        <v>2.38860126255799E-4</v>
      </c>
      <c r="AZ30" s="96">
        <v>1.9588443930115398E-5</v>
      </c>
      <c r="BA30" s="96">
        <v>3.6473682597875002E-4</v>
      </c>
      <c r="BB30" s="96">
        <v>6.2318539616466396E-4</v>
      </c>
      <c r="BC30" s="96">
        <v>7.4270379951850803E-5</v>
      </c>
      <c r="BD30" s="96">
        <v>1.3903776265093E-5</v>
      </c>
      <c r="BE30" s="96">
        <v>0</v>
      </c>
      <c r="BF30" s="96">
        <v>8.8174156216943894E-5</v>
      </c>
      <c r="BG30" s="96">
        <v>1.23569879003869E-3</v>
      </c>
      <c r="BH30" s="96">
        <v>2.3132882205372399E-4</v>
      </c>
      <c r="BI30" s="96">
        <v>0</v>
      </c>
      <c r="BJ30" s="96">
        <v>1.46702761209242E-3</v>
      </c>
      <c r="BK30" s="117">
        <v>0.83179090267253997</v>
      </c>
    </row>
    <row r="31" spans="2:63">
      <c r="B31" s="95" t="s">
        <v>264</v>
      </c>
      <c r="C31" s="106">
        <v>2020</v>
      </c>
      <c r="D31" s="106" t="s">
        <v>161</v>
      </c>
      <c r="E31" s="106" t="s">
        <v>131</v>
      </c>
      <c r="F31" s="106" t="s">
        <v>131</v>
      </c>
      <c r="G31" s="106" t="s">
        <v>146</v>
      </c>
      <c r="H31" s="106">
        <v>81.039183459957599</v>
      </c>
      <c r="I31" s="96">
        <v>1352.65791226599</v>
      </c>
      <c r="J31" s="96">
        <v>931.95060978951301</v>
      </c>
      <c r="K31" s="96">
        <v>3.8742196942631402E-5</v>
      </c>
      <c r="L31" s="96">
        <v>1.2572063871655201E-5</v>
      </c>
      <c r="M31" s="96">
        <v>0</v>
      </c>
      <c r="N31" s="96">
        <v>5.1314260814286703E-5</v>
      </c>
      <c r="O31" s="96">
        <v>0</v>
      </c>
      <c r="P31" s="96">
        <v>0</v>
      </c>
      <c r="Q31" s="96">
        <v>0</v>
      </c>
      <c r="R31" s="96">
        <v>0</v>
      </c>
      <c r="S31" s="96">
        <v>5.1314260814286703E-5</v>
      </c>
      <c r="T31" s="96">
        <v>4.41050421132278E-5</v>
      </c>
      <c r="U31" s="96">
        <v>1.4312337716176099E-5</v>
      </c>
      <c r="V31" s="96">
        <v>0</v>
      </c>
      <c r="W31" s="96">
        <v>5.8417379829403898E-5</v>
      </c>
      <c r="X31" s="96">
        <v>0</v>
      </c>
      <c r="Y31" s="96">
        <v>0</v>
      </c>
      <c r="Z31" s="96">
        <v>0</v>
      </c>
      <c r="AA31" s="96">
        <v>0</v>
      </c>
      <c r="AB31" s="96">
        <v>5.8417379829403898E-5</v>
      </c>
      <c r="AC31" s="96">
        <v>1.7666393564018301E-4</v>
      </c>
      <c r="AD31" s="96">
        <v>4.34729945031534E-4</v>
      </c>
      <c r="AE31" s="96">
        <v>0</v>
      </c>
      <c r="AF31" s="96">
        <v>6.1139388067171698E-4</v>
      </c>
      <c r="AG31" s="96">
        <v>2.70294744319108E-3</v>
      </c>
      <c r="AH31" s="96">
        <v>1.0638443962438301E-3</v>
      </c>
      <c r="AI31" s="96">
        <v>1.5978586553766199E-3</v>
      </c>
      <c r="AJ31" s="96">
        <v>5.3646504948115497E-3</v>
      </c>
      <c r="AK31" s="96">
        <v>1.5963039279289699</v>
      </c>
      <c r="AL31" s="96">
        <v>0.159254315978405</v>
      </c>
      <c r="AM31" s="96">
        <v>0</v>
      </c>
      <c r="AN31" s="96">
        <v>1.75555824390738</v>
      </c>
      <c r="AO31" s="96">
        <v>1.21480909051935E-5</v>
      </c>
      <c r="AP31" s="96">
        <v>4.6749752076520901E-7</v>
      </c>
      <c r="AQ31" s="96">
        <v>0</v>
      </c>
      <c r="AR31" s="96">
        <v>1.26155884259588E-5</v>
      </c>
      <c r="AS31" s="96">
        <v>1.7892601398026001E-5</v>
      </c>
      <c r="AT31" s="96">
        <v>1.94343472184893E-4</v>
      </c>
      <c r="AU31" s="96">
        <v>2.2485166200887801E-4</v>
      </c>
      <c r="AV31" s="96">
        <v>1.16225698700594E-5</v>
      </c>
      <c r="AW31" s="96">
        <v>4.4727378495745801E-7</v>
      </c>
      <c r="AX31" s="96">
        <v>0</v>
      </c>
      <c r="AY31" s="96">
        <v>1.2069843655016901E-5</v>
      </c>
      <c r="AZ31" s="96">
        <v>4.4731503495065198E-6</v>
      </c>
      <c r="BA31" s="96">
        <v>8.3290059507811395E-5</v>
      </c>
      <c r="BB31" s="96">
        <v>9.98330535123348E-5</v>
      </c>
      <c r="BC31" s="96">
        <v>1.5081087990814599E-5</v>
      </c>
      <c r="BD31" s="96">
        <v>1.50455581181417E-6</v>
      </c>
      <c r="BE31" s="96">
        <v>0</v>
      </c>
      <c r="BF31" s="96">
        <v>1.65856438026288E-5</v>
      </c>
      <c r="BG31" s="96">
        <v>2.5091674762938099E-4</v>
      </c>
      <c r="BH31" s="96">
        <v>2.50325607248779E-5</v>
      </c>
      <c r="BI31" s="96">
        <v>0</v>
      </c>
      <c r="BJ31" s="96">
        <v>2.7594930835425901E-4</v>
      </c>
      <c r="BK31" s="117">
        <v>0.156460670812099</v>
      </c>
    </row>
    <row r="32" spans="2:63">
      <c r="B32" s="95" t="s">
        <v>264</v>
      </c>
      <c r="C32" s="106">
        <v>2020</v>
      </c>
      <c r="D32" s="106" t="s">
        <v>160</v>
      </c>
      <c r="E32" s="106" t="s">
        <v>131</v>
      </c>
      <c r="F32" s="106" t="s">
        <v>131</v>
      </c>
      <c r="G32" s="106" t="s">
        <v>146</v>
      </c>
      <c r="H32" s="106">
        <v>2.5620602170914699</v>
      </c>
      <c r="I32" s="96">
        <v>72.934875263948001</v>
      </c>
      <c r="J32" s="96">
        <v>11.2730649552024</v>
      </c>
      <c r="K32" s="96">
        <v>4.3522593515713797E-5</v>
      </c>
      <c r="L32" s="96">
        <v>3.7878970213195299E-6</v>
      </c>
      <c r="M32" s="96">
        <v>0</v>
      </c>
      <c r="N32" s="96">
        <v>4.7310490537033301E-5</v>
      </c>
      <c r="O32" s="96">
        <v>0</v>
      </c>
      <c r="P32" s="96">
        <v>0</v>
      </c>
      <c r="Q32" s="96">
        <v>0</v>
      </c>
      <c r="R32" s="96">
        <v>0</v>
      </c>
      <c r="S32" s="96">
        <v>4.7310490537033301E-5</v>
      </c>
      <c r="T32" s="96">
        <v>4.9547159721734501E-5</v>
      </c>
      <c r="U32" s="96">
        <v>4.3122324191695903E-6</v>
      </c>
      <c r="V32" s="96">
        <v>0</v>
      </c>
      <c r="W32" s="96">
        <v>5.38593921409041E-5</v>
      </c>
      <c r="X32" s="96">
        <v>0</v>
      </c>
      <c r="Y32" s="96">
        <v>0</v>
      </c>
      <c r="Z32" s="96">
        <v>0</v>
      </c>
      <c r="AA32" s="96">
        <v>0</v>
      </c>
      <c r="AB32" s="96">
        <v>5.38593921409041E-5</v>
      </c>
      <c r="AC32" s="96">
        <v>1.5539732724781E-4</v>
      </c>
      <c r="AD32" s="96">
        <v>3.0363042324903501E-5</v>
      </c>
      <c r="AE32" s="96">
        <v>0</v>
      </c>
      <c r="AF32" s="96">
        <v>1.8576036957271399E-4</v>
      </c>
      <c r="AG32" s="96">
        <v>7.1234490234480105E-4</v>
      </c>
      <c r="AH32" s="96">
        <v>5.2943502323928097E-5</v>
      </c>
      <c r="AI32" s="96">
        <v>4.3347010062507499E-5</v>
      </c>
      <c r="AJ32" s="96">
        <v>8.0863541473123702E-4</v>
      </c>
      <c r="AK32" s="96">
        <v>0.131991249114295</v>
      </c>
      <c r="AL32" s="96">
        <v>5.4133302958148397E-3</v>
      </c>
      <c r="AM32" s="96">
        <v>0</v>
      </c>
      <c r="AN32" s="96">
        <v>0.13740457941011</v>
      </c>
      <c r="AO32" s="96">
        <v>2.7961598989845001E-5</v>
      </c>
      <c r="AP32" s="96">
        <v>3.6820073677450098E-7</v>
      </c>
      <c r="AQ32" s="96">
        <v>0</v>
      </c>
      <c r="AR32" s="96">
        <v>2.8329799726619501E-5</v>
      </c>
      <c r="AS32" s="96">
        <v>2.8942897667151299E-6</v>
      </c>
      <c r="AT32" s="96">
        <v>4.96370694991645E-6</v>
      </c>
      <c r="AU32" s="96">
        <v>3.6187796443251103E-5</v>
      </c>
      <c r="AV32" s="96">
        <v>2.6751992594912098E-5</v>
      </c>
      <c r="AW32" s="96">
        <v>3.5227253588787799E-7</v>
      </c>
      <c r="AX32" s="96">
        <v>0</v>
      </c>
      <c r="AY32" s="96">
        <v>2.7104265130800002E-5</v>
      </c>
      <c r="AZ32" s="96">
        <v>7.2357244167878301E-7</v>
      </c>
      <c r="BA32" s="96">
        <v>2.12730297853562E-6</v>
      </c>
      <c r="BB32" s="96">
        <v>2.99551405510144E-5</v>
      </c>
      <c r="BC32" s="96">
        <v>1.24698787435346E-6</v>
      </c>
      <c r="BD32" s="96">
        <v>5.1142460458920098E-8</v>
      </c>
      <c r="BE32" s="96">
        <v>0</v>
      </c>
      <c r="BF32" s="96">
        <v>1.29813033481238E-6</v>
      </c>
      <c r="BG32" s="96">
        <v>2.0747186274399801E-5</v>
      </c>
      <c r="BH32" s="96">
        <v>8.5090013743917297E-7</v>
      </c>
      <c r="BI32" s="96">
        <v>0</v>
      </c>
      <c r="BJ32" s="96">
        <v>2.1598086411838899E-5</v>
      </c>
      <c r="BK32" s="117">
        <v>1.22459125134525E-2</v>
      </c>
    </row>
    <row r="33" spans="2:63">
      <c r="B33" s="95" t="s">
        <v>264</v>
      </c>
      <c r="C33" s="106">
        <v>2020</v>
      </c>
      <c r="D33" s="106" t="s">
        <v>159</v>
      </c>
      <c r="E33" s="106" t="s">
        <v>131</v>
      </c>
      <c r="F33" s="106" t="s">
        <v>131</v>
      </c>
      <c r="G33" s="106" t="s">
        <v>146</v>
      </c>
      <c r="H33" s="106">
        <v>71.503107351758402</v>
      </c>
      <c r="I33" s="96">
        <v>12946.3408281582</v>
      </c>
      <c r="J33" s="96">
        <v>1043.94536733567</v>
      </c>
      <c r="K33" s="96">
        <v>1.02651841706563E-3</v>
      </c>
      <c r="L33" s="96">
        <v>8.4294505175700699E-4</v>
      </c>
      <c r="M33" s="96">
        <v>0</v>
      </c>
      <c r="N33" s="96">
        <v>1.86946346882264E-3</v>
      </c>
      <c r="O33" s="96">
        <v>0</v>
      </c>
      <c r="P33" s="96">
        <v>0</v>
      </c>
      <c r="Q33" s="96">
        <v>0</v>
      </c>
      <c r="R33" s="96">
        <v>0</v>
      </c>
      <c r="S33" s="96">
        <v>1.86946346882264E-3</v>
      </c>
      <c r="T33" s="96">
        <v>1.1686130779244501E-3</v>
      </c>
      <c r="U33" s="96">
        <v>9.5962877536171604E-4</v>
      </c>
      <c r="V33" s="96">
        <v>0</v>
      </c>
      <c r="W33" s="96">
        <v>2.1282418532861699E-3</v>
      </c>
      <c r="X33" s="96">
        <v>0</v>
      </c>
      <c r="Y33" s="96">
        <v>0</v>
      </c>
      <c r="Z33" s="96">
        <v>0</v>
      </c>
      <c r="AA33" s="96">
        <v>0</v>
      </c>
      <c r="AB33" s="96">
        <v>2.1282418532861699E-3</v>
      </c>
      <c r="AC33" s="96">
        <v>4.7233086908640299E-3</v>
      </c>
      <c r="AD33" s="96">
        <v>1.0618349462797E-2</v>
      </c>
      <c r="AE33" s="96">
        <v>0</v>
      </c>
      <c r="AF33" s="96">
        <v>1.5341658153661101E-2</v>
      </c>
      <c r="AG33" s="96">
        <v>4.5819073758426303E-2</v>
      </c>
      <c r="AH33" s="96">
        <v>1.03937601945173E-2</v>
      </c>
      <c r="AI33" s="96">
        <v>2.1277407363240299E-3</v>
      </c>
      <c r="AJ33" s="96">
        <v>5.8340574689267698E-2</v>
      </c>
      <c r="AK33" s="96">
        <v>20.044508556102201</v>
      </c>
      <c r="AL33" s="96">
        <v>2.05159548209441</v>
      </c>
      <c r="AM33" s="96">
        <v>0</v>
      </c>
      <c r="AN33" s="96">
        <v>22.0961040381966</v>
      </c>
      <c r="AO33" s="96">
        <v>7.1921439178163397E-4</v>
      </c>
      <c r="AP33" s="96">
        <v>1.9317749543776999E-5</v>
      </c>
      <c r="AQ33" s="96">
        <v>0</v>
      </c>
      <c r="AR33" s="96">
        <v>7.3853214132541098E-4</v>
      </c>
      <c r="AS33" s="96">
        <v>5.1375232547859798E-4</v>
      </c>
      <c r="AT33" s="96">
        <v>8.8108523819579597E-4</v>
      </c>
      <c r="AU33" s="96">
        <v>2.1333697049997998E-3</v>
      </c>
      <c r="AV33" s="96">
        <v>6.8810149555767995E-4</v>
      </c>
      <c r="AW33" s="96">
        <v>1.84820722496297E-5</v>
      </c>
      <c r="AX33" s="96">
        <v>0</v>
      </c>
      <c r="AY33" s="96">
        <v>7.0658356780730995E-4</v>
      </c>
      <c r="AZ33" s="96">
        <v>1.2843808136964901E-4</v>
      </c>
      <c r="BA33" s="96">
        <v>3.7760795922676997E-4</v>
      </c>
      <c r="BB33" s="96">
        <v>1.21262960840373E-3</v>
      </c>
      <c r="BC33" s="96">
        <v>1.8937057785694099E-4</v>
      </c>
      <c r="BD33" s="96">
        <v>1.9382456840261701E-5</v>
      </c>
      <c r="BE33" s="96">
        <v>0</v>
      </c>
      <c r="BF33" s="96">
        <v>2.0875303469720301E-4</v>
      </c>
      <c r="BG33" s="96">
        <v>3.15071760880254E-3</v>
      </c>
      <c r="BH33" s="96">
        <v>3.2248223963598799E-4</v>
      </c>
      <c r="BI33" s="96">
        <v>0</v>
      </c>
      <c r="BJ33" s="96">
        <v>3.4731998484385301E-3</v>
      </c>
      <c r="BK33" s="117">
        <v>1.9692717528160599</v>
      </c>
    </row>
    <row r="34" spans="2:63">
      <c r="B34" s="95" t="s">
        <v>264</v>
      </c>
      <c r="C34" s="106">
        <v>2020</v>
      </c>
      <c r="D34" s="106" t="s">
        <v>158</v>
      </c>
      <c r="E34" s="106" t="s">
        <v>131</v>
      </c>
      <c r="F34" s="106" t="s">
        <v>131</v>
      </c>
      <c r="G34" s="106" t="s">
        <v>146</v>
      </c>
      <c r="H34" s="106">
        <v>4.3875889237657804</v>
      </c>
      <c r="I34" s="96">
        <v>806.99777801918697</v>
      </c>
      <c r="J34" s="96">
        <v>19.836118935279998</v>
      </c>
      <c r="K34" s="96">
        <v>1.45283977722487E-4</v>
      </c>
      <c r="L34" s="96">
        <v>7.6877812228813795E-6</v>
      </c>
      <c r="M34" s="96">
        <v>0</v>
      </c>
      <c r="N34" s="96">
        <v>1.5297175894536899E-4</v>
      </c>
      <c r="O34" s="96">
        <v>0</v>
      </c>
      <c r="P34" s="96">
        <v>0</v>
      </c>
      <c r="Q34" s="96">
        <v>0</v>
      </c>
      <c r="R34" s="96">
        <v>0</v>
      </c>
      <c r="S34" s="96">
        <v>1.5297175894536899E-4</v>
      </c>
      <c r="T34" s="96">
        <v>1.65394749433441E-4</v>
      </c>
      <c r="U34" s="96">
        <v>8.7519537184365797E-6</v>
      </c>
      <c r="V34" s="96">
        <v>0</v>
      </c>
      <c r="W34" s="96">
        <v>1.74146703151878E-4</v>
      </c>
      <c r="X34" s="96">
        <v>0</v>
      </c>
      <c r="Y34" s="96">
        <v>0</v>
      </c>
      <c r="Z34" s="96">
        <v>0</v>
      </c>
      <c r="AA34" s="96">
        <v>0</v>
      </c>
      <c r="AB34" s="96">
        <v>1.74146703151878E-4</v>
      </c>
      <c r="AC34" s="96">
        <v>6.6329658904471802E-4</v>
      </c>
      <c r="AD34" s="96">
        <v>1.0267718466922E-4</v>
      </c>
      <c r="AE34" s="96">
        <v>0</v>
      </c>
      <c r="AF34" s="96">
        <v>7.6597377371393903E-4</v>
      </c>
      <c r="AG34" s="96">
        <v>4.39755127771254E-3</v>
      </c>
      <c r="AH34" s="96">
        <v>1.02385088397754E-4</v>
      </c>
      <c r="AI34" s="96">
        <v>8.4986848179835397E-5</v>
      </c>
      <c r="AJ34" s="96">
        <v>4.5849232142901397E-3</v>
      </c>
      <c r="AK34" s="96">
        <v>1.58178067513266</v>
      </c>
      <c r="AL34" s="96">
        <v>1.9401972409132901E-2</v>
      </c>
      <c r="AM34" s="96">
        <v>0</v>
      </c>
      <c r="AN34" s="96">
        <v>1.6011826475417901</v>
      </c>
      <c r="AO34" s="96">
        <v>4.0613441151862998E-5</v>
      </c>
      <c r="AP34" s="96">
        <v>8.3383448776334704E-8</v>
      </c>
      <c r="AQ34" s="96">
        <v>0</v>
      </c>
      <c r="AR34" s="96">
        <v>4.0696824600639302E-5</v>
      </c>
      <c r="AS34" s="96">
        <v>3.2024260029650302E-5</v>
      </c>
      <c r="AT34" s="96">
        <v>5.4921605950850299E-5</v>
      </c>
      <c r="AU34" s="96">
        <v>1.2764269058114001E-4</v>
      </c>
      <c r="AV34" s="96">
        <v>3.8856521665414203E-5</v>
      </c>
      <c r="AW34" s="96">
        <v>7.9776317692448995E-8</v>
      </c>
      <c r="AX34" s="96">
        <v>0</v>
      </c>
      <c r="AY34" s="96">
        <v>3.8936297983106602E-5</v>
      </c>
      <c r="AZ34" s="96">
        <v>8.0060650074125805E-6</v>
      </c>
      <c r="BA34" s="96">
        <v>2.3537831121792999E-5</v>
      </c>
      <c r="BB34" s="96">
        <v>7.0480194112312205E-5</v>
      </c>
      <c r="BC34" s="96">
        <v>1.49438794996858E-5</v>
      </c>
      <c r="BD34" s="96">
        <v>1.83300214939088E-7</v>
      </c>
      <c r="BE34" s="96">
        <v>0</v>
      </c>
      <c r="BF34" s="96">
        <v>1.51271797146249E-5</v>
      </c>
      <c r="BG34" s="96">
        <v>2.4863389453800297E-4</v>
      </c>
      <c r="BH34" s="96">
        <v>3.04971987434165E-6</v>
      </c>
      <c r="BI34" s="96">
        <v>0</v>
      </c>
      <c r="BJ34" s="96">
        <v>2.51683614412345E-4</v>
      </c>
      <c r="BK34" s="117">
        <v>0.14270224983791399</v>
      </c>
    </row>
    <row r="35" spans="2:63">
      <c r="B35" s="95" t="s">
        <v>264</v>
      </c>
      <c r="C35" s="106">
        <v>2020</v>
      </c>
      <c r="D35" s="106" t="s">
        <v>157</v>
      </c>
      <c r="E35" s="106" t="s">
        <v>131</v>
      </c>
      <c r="F35" s="106" t="s">
        <v>131</v>
      </c>
      <c r="G35" s="106" t="s">
        <v>146</v>
      </c>
      <c r="H35" s="106">
        <v>78.260555199937102</v>
      </c>
      <c r="I35" s="96">
        <v>15796.7169714796</v>
      </c>
      <c r="J35" s="96">
        <v>1142.60410591908</v>
      </c>
      <c r="K35" s="96">
        <v>1.3008656037008699E-3</v>
      </c>
      <c r="L35" s="96">
        <v>1.17382996804834E-3</v>
      </c>
      <c r="M35" s="96">
        <v>0</v>
      </c>
      <c r="N35" s="96">
        <v>2.4746955717492099E-3</v>
      </c>
      <c r="O35" s="96">
        <v>0</v>
      </c>
      <c r="P35" s="96">
        <v>0</v>
      </c>
      <c r="Q35" s="96">
        <v>0</v>
      </c>
      <c r="R35" s="96">
        <v>0</v>
      </c>
      <c r="S35" s="96">
        <v>2.4746955717492099E-3</v>
      </c>
      <c r="T35" s="96">
        <v>1.4809364662472699E-3</v>
      </c>
      <c r="U35" s="96">
        <v>1.33631606517316E-3</v>
      </c>
      <c r="V35" s="96">
        <v>0</v>
      </c>
      <c r="W35" s="96">
        <v>2.8172525314204299E-3</v>
      </c>
      <c r="X35" s="96">
        <v>0</v>
      </c>
      <c r="Y35" s="96">
        <v>0</v>
      </c>
      <c r="Z35" s="96">
        <v>0</v>
      </c>
      <c r="AA35" s="96">
        <v>0</v>
      </c>
      <c r="AB35" s="96">
        <v>2.8172525314204299E-3</v>
      </c>
      <c r="AC35" s="96">
        <v>6.1443131575258901E-3</v>
      </c>
      <c r="AD35" s="96">
        <v>1.45585130667175E-2</v>
      </c>
      <c r="AE35" s="96">
        <v>0</v>
      </c>
      <c r="AF35" s="96">
        <v>2.0702826224243399E-2</v>
      </c>
      <c r="AG35" s="96">
        <v>4.7817999086156901E-2</v>
      </c>
      <c r="AH35" s="96">
        <v>1.3193513936646899E-2</v>
      </c>
      <c r="AI35" s="96">
        <v>2.3810837441572801E-3</v>
      </c>
      <c r="AJ35" s="96">
        <v>6.3392596766961198E-2</v>
      </c>
      <c r="AK35" s="96">
        <v>23.573594578586398</v>
      </c>
      <c r="AL35" s="96">
        <v>2.6159721549904398</v>
      </c>
      <c r="AM35" s="96">
        <v>0</v>
      </c>
      <c r="AN35" s="96">
        <v>26.1895667335768</v>
      </c>
      <c r="AO35" s="96">
        <v>9.6602390284457004E-4</v>
      </c>
      <c r="AP35" s="96">
        <v>4.0981235677167898E-5</v>
      </c>
      <c r="AQ35" s="96">
        <v>0</v>
      </c>
      <c r="AR35" s="96">
        <v>1.0070051385217299E-3</v>
      </c>
      <c r="AS35" s="96">
        <v>6.2686439255279602E-4</v>
      </c>
      <c r="AT35" s="96">
        <v>1.0750724332280401E-3</v>
      </c>
      <c r="AU35" s="96">
        <v>2.7089419643025799E-3</v>
      </c>
      <c r="AV35" s="96">
        <v>9.2423413642372899E-4</v>
      </c>
      <c r="AW35" s="96">
        <v>3.9208405562360897E-5</v>
      </c>
      <c r="AX35" s="96">
        <v>0</v>
      </c>
      <c r="AY35" s="96">
        <v>9.6344254198609002E-4</v>
      </c>
      <c r="AZ35" s="96">
        <v>1.5671609813819901E-4</v>
      </c>
      <c r="BA35" s="96">
        <v>4.6074532852630499E-4</v>
      </c>
      <c r="BB35" s="96">
        <v>1.5809039686505899E-3</v>
      </c>
      <c r="BC35" s="96">
        <v>2.22711632715641E-4</v>
      </c>
      <c r="BD35" s="96">
        <v>2.47144078021007E-5</v>
      </c>
      <c r="BE35" s="96">
        <v>0</v>
      </c>
      <c r="BF35" s="96">
        <v>2.4742604051774099E-4</v>
      </c>
      <c r="BG35" s="96">
        <v>3.70544078612058E-3</v>
      </c>
      <c r="BH35" s="96">
        <v>4.1119439320732502E-4</v>
      </c>
      <c r="BI35" s="96">
        <v>0</v>
      </c>
      <c r="BJ35" s="96">
        <v>4.1166351793279097E-3</v>
      </c>
      <c r="BK35" s="117">
        <v>2.3340935532241098</v>
      </c>
    </row>
    <row r="36" spans="2:63">
      <c r="B36" s="95" t="s">
        <v>264</v>
      </c>
      <c r="C36" s="106">
        <v>2020</v>
      </c>
      <c r="D36" s="106" t="s">
        <v>156</v>
      </c>
      <c r="E36" s="106" t="s">
        <v>131</v>
      </c>
      <c r="F36" s="106" t="s">
        <v>131</v>
      </c>
      <c r="G36" s="106" t="s">
        <v>146</v>
      </c>
      <c r="H36" s="106">
        <v>28.087378504020201</v>
      </c>
      <c r="I36" s="96">
        <v>5083.8209629783796</v>
      </c>
      <c r="J36" s="96">
        <v>410.07572615869498</v>
      </c>
      <c r="K36" s="96">
        <v>3.7991461100982202E-4</v>
      </c>
      <c r="L36" s="96">
        <v>4.1038101147438402E-4</v>
      </c>
      <c r="M36" s="96">
        <v>0</v>
      </c>
      <c r="N36" s="96">
        <v>7.9029562248420599E-4</v>
      </c>
      <c r="O36" s="96">
        <v>0</v>
      </c>
      <c r="P36" s="96">
        <v>0</v>
      </c>
      <c r="Q36" s="96">
        <v>0</v>
      </c>
      <c r="R36" s="96">
        <v>0</v>
      </c>
      <c r="S36" s="96">
        <v>7.9029562248420599E-4</v>
      </c>
      <c r="T36" s="96">
        <v>4.3250386504489898E-4</v>
      </c>
      <c r="U36" s="96">
        <v>4.67187542832138E-4</v>
      </c>
      <c r="V36" s="96">
        <v>0</v>
      </c>
      <c r="W36" s="96">
        <v>8.9969140787703801E-4</v>
      </c>
      <c r="X36" s="96">
        <v>0</v>
      </c>
      <c r="Y36" s="96">
        <v>0</v>
      </c>
      <c r="Z36" s="96">
        <v>0</v>
      </c>
      <c r="AA36" s="96">
        <v>0</v>
      </c>
      <c r="AB36" s="96">
        <v>8.9969140787703801E-4</v>
      </c>
      <c r="AC36" s="96">
        <v>1.7945850163660899E-3</v>
      </c>
      <c r="AD36" s="96">
        <v>5.1980142723113401E-3</v>
      </c>
      <c r="AE36" s="96">
        <v>0</v>
      </c>
      <c r="AF36" s="96">
        <v>6.99259928867744E-3</v>
      </c>
      <c r="AG36" s="96">
        <v>1.7733053589557599E-2</v>
      </c>
      <c r="AH36" s="96">
        <v>5.0823714288023196E-3</v>
      </c>
      <c r="AI36" s="96">
        <v>8.4015436772228998E-4</v>
      </c>
      <c r="AJ36" s="96">
        <v>2.36555793860822E-2</v>
      </c>
      <c r="AK36" s="96">
        <v>7.8721850506702999</v>
      </c>
      <c r="AL36" s="96">
        <v>1.0054579194786</v>
      </c>
      <c r="AM36" s="96">
        <v>0</v>
      </c>
      <c r="AN36" s="96">
        <v>8.8776429701489104</v>
      </c>
      <c r="AO36" s="96">
        <v>2.7577599806654398E-4</v>
      </c>
      <c r="AP36" s="96">
        <v>8.7927438523493705E-6</v>
      </c>
      <c r="AQ36" s="96">
        <v>0</v>
      </c>
      <c r="AR36" s="96">
        <v>2.8456874191889401E-4</v>
      </c>
      <c r="AS36" s="96">
        <v>2.0174232060740099E-4</v>
      </c>
      <c r="AT36" s="96">
        <v>3.4598807984169303E-4</v>
      </c>
      <c r="AU36" s="96">
        <v>8.3229914236798805E-4</v>
      </c>
      <c r="AV36" s="96">
        <v>2.6384605046406802E-4</v>
      </c>
      <c r="AW36" s="96">
        <v>8.4123736454569905E-6</v>
      </c>
      <c r="AX36" s="96">
        <v>0</v>
      </c>
      <c r="AY36" s="96">
        <v>2.72258424109525E-4</v>
      </c>
      <c r="AZ36" s="96">
        <v>5.0435580151850301E-5</v>
      </c>
      <c r="BA36" s="96">
        <v>1.4828060564643899E-4</v>
      </c>
      <c r="BB36" s="96">
        <v>4.7097460990781499E-4</v>
      </c>
      <c r="BC36" s="96">
        <v>7.4372500970515097E-5</v>
      </c>
      <c r="BD36" s="96">
        <v>9.4990678713614597E-6</v>
      </c>
      <c r="BE36" s="96">
        <v>0</v>
      </c>
      <c r="BF36" s="96">
        <v>8.38715688418765E-5</v>
      </c>
      <c r="BG36" s="96">
        <v>1.2373978633338999E-3</v>
      </c>
      <c r="BH36" s="96">
        <v>1.58043983116102E-4</v>
      </c>
      <c r="BI36" s="96">
        <v>0</v>
      </c>
      <c r="BJ36" s="96">
        <v>1.39544184645E-3</v>
      </c>
      <c r="BK36" s="117">
        <v>0.79120244466984202</v>
      </c>
    </row>
    <row r="37" spans="2:63">
      <c r="B37" s="95" t="s">
        <v>264</v>
      </c>
      <c r="C37" s="106">
        <v>2020</v>
      </c>
      <c r="D37" s="106" t="s">
        <v>155</v>
      </c>
      <c r="E37" s="106" t="s">
        <v>131</v>
      </c>
      <c r="F37" s="106" t="s">
        <v>131</v>
      </c>
      <c r="G37" s="106" t="s">
        <v>146</v>
      </c>
      <c r="H37" s="106">
        <v>8.6740731069304005</v>
      </c>
      <c r="I37" s="96">
        <v>1379.6828405527899</v>
      </c>
      <c r="J37" s="96">
        <v>65.922955612671004</v>
      </c>
      <c r="K37" s="96">
        <v>3.8086441203920502E-4</v>
      </c>
      <c r="L37" s="96">
        <v>1.5704529320737199E-5</v>
      </c>
      <c r="M37" s="96">
        <v>0</v>
      </c>
      <c r="N37" s="96">
        <v>3.9656894135994201E-4</v>
      </c>
      <c r="O37" s="96">
        <v>0</v>
      </c>
      <c r="P37" s="96">
        <v>0</v>
      </c>
      <c r="Q37" s="96">
        <v>0</v>
      </c>
      <c r="R37" s="96">
        <v>0</v>
      </c>
      <c r="S37" s="96">
        <v>3.9656894135994201E-4</v>
      </c>
      <c r="T37" s="96">
        <v>4.3358514121677401E-4</v>
      </c>
      <c r="U37" s="96">
        <v>1.7878411182649101E-5</v>
      </c>
      <c r="V37" s="96">
        <v>0</v>
      </c>
      <c r="W37" s="96">
        <v>4.5146355239942301E-4</v>
      </c>
      <c r="X37" s="96">
        <v>0</v>
      </c>
      <c r="Y37" s="96">
        <v>0</v>
      </c>
      <c r="Z37" s="96">
        <v>0</v>
      </c>
      <c r="AA37" s="96">
        <v>0</v>
      </c>
      <c r="AB37" s="96">
        <v>4.5146355239942301E-4</v>
      </c>
      <c r="AC37" s="96">
        <v>1.3626368448322499E-3</v>
      </c>
      <c r="AD37" s="96">
        <v>1.6353961961814399E-4</v>
      </c>
      <c r="AE37" s="96">
        <v>0</v>
      </c>
      <c r="AF37" s="96">
        <v>1.52617646445039E-3</v>
      </c>
      <c r="AG37" s="96">
        <v>9.1606593678194397E-3</v>
      </c>
      <c r="AH37" s="96">
        <v>2.7347029151239901E-4</v>
      </c>
      <c r="AI37" s="96">
        <v>7.5281247543319203E-5</v>
      </c>
      <c r="AJ37" s="96">
        <v>9.5094109068751594E-3</v>
      </c>
      <c r="AK37" s="96">
        <v>2.8332105521817801</v>
      </c>
      <c r="AL37" s="96">
        <v>4.5229307119191597E-2</v>
      </c>
      <c r="AM37" s="96">
        <v>0</v>
      </c>
      <c r="AN37" s="96">
        <v>2.8784398593009701</v>
      </c>
      <c r="AO37" s="96">
        <v>5.1910545775666803E-5</v>
      </c>
      <c r="AP37" s="96">
        <v>9.1801610160418199E-8</v>
      </c>
      <c r="AQ37" s="96">
        <v>0</v>
      </c>
      <c r="AR37" s="96">
        <v>5.2002347385827198E-5</v>
      </c>
      <c r="AS37" s="96">
        <v>5.4750240022666797E-5</v>
      </c>
      <c r="AT37" s="96">
        <v>9.3896661638873704E-5</v>
      </c>
      <c r="AU37" s="96">
        <v>2.0064924904736699E-4</v>
      </c>
      <c r="AV37" s="96">
        <v>4.9664918543922697E-5</v>
      </c>
      <c r="AW37" s="96">
        <v>8.7830313141406099E-8</v>
      </c>
      <c r="AX37" s="96">
        <v>0</v>
      </c>
      <c r="AY37" s="96">
        <v>4.9752748857064101E-5</v>
      </c>
      <c r="AZ37" s="96">
        <v>1.3687560005666699E-5</v>
      </c>
      <c r="BA37" s="96">
        <v>4.0241426416660103E-5</v>
      </c>
      <c r="BB37" s="96">
        <v>1.03681735279391E-4</v>
      </c>
      <c r="BC37" s="96">
        <v>2.6766768462063901E-5</v>
      </c>
      <c r="BD37" s="96">
        <v>4.2730406690978099E-7</v>
      </c>
      <c r="BE37" s="96">
        <v>0</v>
      </c>
      <c r="BF37" s="96">
        <v>2.71940725289737E-5</v>
      </c>
      <c r="BG37" s="96">
        <v>4.4534124402300301E-4</v>
      </c>
      <c r="BH37" s="96">
        <v>7.1094172239504298E-6</v>
      </c>
      <c r="BI37" s="96">
        <v>0</v>
      </c>
      <c r="BJ37" s="96">
        <v>4.5245066124695299E-4</v>
      </c>
      <c r="BK37" s="117">
        <v>0.25653528320207297</v>
      </c>
    </row>
    <row r="38" spans="2:63">
      <c r="B38" s="95" t="s">
        <v>264</v>
      </c>
      <c r="C38" s="106">
        <v>2020</v>
      </c>
      <c r="D38" s="106" t="s">
        <v>154</v>
      </c>
      <c r="E38" s="106" t="s">
        <v>131</v>
      </c>
      <c r="F38" s="106" t="s">
        <v>131</v>
      </c>
      <c r="G38" s="106" t="s">
        <v>146</v>
      </c>
      <c r="H38" s="106">
        <v>64.376690525697498</v>
      </c>
      <c r="I38" s="96">
        <v>7194.4797836909102</v>
      </c>
      <c r="J38" s="96">
        <v>489.262847995301</v>
      </c>
      <c r="K38" s="96">
        <v>2.3763192989193502E-3</v>
      </c>
      <c r="L38" s="96">
        <v>1.8610119606681099E-4</v>
      </c>
      <c r="M38" s="96">
        <v>0</v>
      </c>
      <c r="N38" s="96">
        <v>2.5624204949861598E-3</v>
      </c>
      <c r="O38" s="96">
        <v>0</v>
      </c>
      <c r="P38" s="96">
        <v>0</v>
      </c>
      <c r="Q38" s="96">
        <v>0</v>
      </c>
      <c r="R38" s="96">
        <v>0</v>
      </c>
      <c r="S38" s="96">
        <v>2.5624204949861598E-3</v>
      </c>
      <c r="T38" s="96">
        <v>2.7052586333323001E-3</v>
      </c>
      <c r="U38" s="96">
        <v>2.1186204545919299E-4</v>
      </c>
      <c r="V38" s="96">
        <v>0</v>
      </c>
      <c r="W38" s="96">
        <v>2.9171206787915E-3</v>
      </c>
      <c r="X38" s="96">
        <v>0</v>
      </c>
      <c r="Y38" s="96">
        <v>0</v>
      </c>
      <c r="Z38" s="96">
        <v>0</v>
      </c>
      <c r="AA38" s="96">
        <v>0</v>
      </c>
      <c r="AB38" s="96">
        <v>2.9171206787915E-3</v>
      </c>
      <c r="AC38" s="96">
        <v>8.0111718753505395E-3</v>
      </c>
      <c r="AD38" s="96">
        <v>1.9379707722319301E-3</v>
      </c>
      <c r="AE38" s="96">
        <v>0</v>
      </c>
      <c r="AF38" s="96">
        <v>9.9491426475824696E-3</v>
      </c>
      <c r="AG38" s="96">
        <v>5.2317295753770997E-2</v>
      </c>
      <c r="AH38" s="96">
        <v>3.2406668993253101E-3</v>
      </c>
      <c r="AI38" s="96">
        <v>5.5871763077631304E-4</v>
      </c>
      <c r="AJ38" s="96">
        <v>5.6116680283872601E-2</v>
      </c>
      <c r="AK38" s="96">
        <v>15.1069980300226</v>
      </c>
      <c r="AL38" s="96">
        <v>0.535983597476133</v>
      </c>
      <c r="AM38" s="96">
        <v>0</v>
      </c>
      <c r="AN38" s="96">
        <v>15.6429816274988</v>
      </c>
      <c r="AO38" s="96">
        <v>3.0661609441096099E-4</v>
      </c>
      <c r="AP38" s="96">
        <v>1.08786383232471E-6</v>
      </c>
      <c r="AQ38" s="96">
        <v>0</v>
      </c>
      <c r="AR38" s="96">
        <v>3.0770395824328598E-4</v>
      </c>
      <c r="AS38" s="96">
        <v>2.85500031904056E-4</v>
      </c>
      <c r="AT38" s="96">
        <v>4.8963255471545601E-4</v>
      </c>
      <c r="AU38" s="96">
        <v>1.0828365448627901E-3</v>
      </c>
      <c r="AV38" s="96">
        <v>2.9335201789217698E-4</v>
      </c>
      <c r="AW38" s="96">
        <v>1.0408033244877199E-6</v>
      </c>
      <c r="AX38" s="96">
        <v>0</v>
      </c>
      <c r="AY38" s="96">
        <v>2.9439282121666399E-4</v>
      </c>
      <c r="AZ38" s="96">
        <v>7.1375007976014001E-5</v>
      </c>
      <c r="BA38" s="96">
        <v>2.0984252344948101E-4</v>
      </c>
      <c r="BB38" s="96">
        <v>5.7561035264215999E-4</v>
      </c>
      <c r="BC38" s="96">
        <v>1.4272342664934699E-4</v>
      </c>
      <c r="BD38" s="96">
        <v>5.0637072638529504E-6</v>
      </c>
      <c r="BE38" s="96">
        <v>0</v>
      </c>
      <c r="BF38" s="96">
        <v>1.477871339132E-4</v>
      </c>
      <c r="BG38" s="96">
        <v>2.3746097129853198E-3</v>
      </c>
      <c r="BH38" s="96">
        <v>8.4249157512184298E-5</v>
      </c>
      <c r="BI38" s="96">
        <v>0</v>
      </c>
      <c r="BJ38" s="96">
        <v>2.4588588704975E-3</v>
      </c>
      <c r="BK38" s="117">
        <v>1.3941499277701701</v>
      </c>
    </row>
    <row r="39" spans="2:63">
      <c r="B39" s="95" t="s">
        <v>264</v>
      </c>
      <c r="C39" s="106">
        <v>2020</v>
      </c>
      <c r="D39" s="106" t="s">
        <v>153</v>
      </c>
      <c r="E39" s="106" t="s">
        <v>131</v>
      </c>
      <c r="F39" s="106" t="s">
        <v>131</v>
      </c>
      <c r="G39" s="106" t="s">
        <v>146</v>
      </c>
      <c r="H39" s="106">
        <v>284.69330090938598</v>
      </c>
      <c r="I39" s="96">
        <v>5774.2429215956099</v>
      </c>
      <c r="J39" s="96">
        <v>863.56967856156803</v>
      </c>
      <c r="K39" s="96">
        <v>1.03570617584925E-3</v>
      </c>
      <c r="L39" s="96">
        <v>3.4915688506418702E-4</v>
      </c>
      <c r="M39" s="96">
        <v>0</v>
      </c>
      <c r="N39" s="96">
        <v>1.3848630609134399E-3</v>
      </c>
      <c r="O39" s="96">
        <v>0</v>
      </c>
      <c r="P39" s="96">
        <v>0</v>
      </c>
      <c r="Q39" s="96">
        <v>0</v>
      </c>
      <c r="R39" s="96">
        <v>0</v>
      </c>
      <c r="S39" s="96">
        <v>1.3848630609134399E-3</v>
      </c>
      <c r="T39" s="96">
        <v>1.17907264191556E-3</v>
      </c>
      <c r="U39" s="96">
        <v>3.9748853537353E-4</v>
      </c>
      <c r="V39" s="96">
        <v>0</v>
      </c>
      <c r="W39" s="96">
        <v>1.5765611772890901E-3</v>
      </c>
      <c r="X39" s="96">
        <v>0</v>
      </c>
      <c r="Y39" s="96">
        <v>0</v>
      </c>
      <c r="Z39" s="96">
        <v>0</v>
      </c>
      <c r="AA39" s="96">
        <v>0</v>
      </c>
      <c r="AB39" s="96">
        <v>1.5765611772890901E-3</v>
      </c>
      <c r="AC39" s="96">
        <v>3.3155016698299101E-3</v>
      </c>
      <c r="AD39" s="96">
        <v>2.5882972378040601E-3</v>
      </c>
      <c r="AE39" s="96">
        <v>0</v>
      </c>
      <c r="AF39" s="96">
        <v>5.9037989076339802E-3</v>
      </c>
      <c r="AG39" s="96">
        <v>8.1475038252129206E-2</v>
      </c>
      <c r="AH39" s="96">
        <v>1.2461823401955599E-2</v>
      </c>
      <c r="AI39" s="96">
        <v>1.5484253616895301E-3</v>
      </c>
      <c r="AJ39" s="96">
        <v>9.5485287015774398E-2</v>
      </c>
      <c r="AK39" s="96">
        <v>12.0173707897826</v>
      </c>
      <c r="AL39" s="96">
        <v>1.0689406487992501</v>
      </c>
      <c r="AM39" s="96">
        <v>0</v>
      </c>
      <c r="AN39" s="96">
        <v>13.0863114385818</v>
      </c>
      <c r="AO39" s="96">
        <v>4.5982245770211598E-4</v>
      </c>
      <c r="AP39" s="96">
        <v>3.34339258395409E-5</v>
      </c>
      <c r="AQ39" s="96">
        <v>0</v>
      </c>
      <c r="AR39" s="96">
        <v>4.9325638354165695E-4</v>
      </c>
      <c r="AS39" s="96">
        <v>2.2914047824199699E-4</v>
      </c>
      <c r="AT39" s="96">
        <v>3.9297592018502502E-4</v>
      </c>
      <c r="AU39" s="96">
        <v>1.11537278196868E-3</v>
      </c>
      <c r="AV39" s="96">
        <v>4.3993074172506299E-4</v>
      </c>
      <c r="AW39" s="96">
        <v>3.1987589007448003E-5</v>
      </c>
      <c r="AX39" s="96">
        <v>0</v>
      </c>
      <c r="AY39" s="96">
        <v>4.7191833073251098E-4</v>
      </c>
      <c r="AZ39" s="96">
        <v>5.7285119560499303E-5</v>
      </c>
      <c r="BA39" s="96">
        <v>1.6841825150786801E-4</v>
      </c>
      <c r="BB39" s="96">
        <v>6.9762170180087896E-4</v>
      </c>
      <c r="BC39" s="96">
        <v>1.13534160461591E-4</v>
      </c>
      <c r="BD39" s="96">
        <v>1.0098821220351801E-5</v>
      </c>
      <c r="BE39" s="96">
        <v>0</v>
      </c>
      <c r="BF39" s="96">
        <v>1.23632981681943E-4</v>
      </c>
      <c r="BG39" s="96">
        <v>1.8889633364121701E-3</v>
      </c>
      <c r="BH39" s="96">
        <v>1.6802258411625199E-4</v>
      </c>
      <c r="BI39" s="96">
        <v>0</v>
      </c>
      <c r="BJ39" s="96">
        <v>2.0569859205284199E-3</v>
      </c>
      <c r="BK39" s="117">
        <v>1.16629173269661</v>
      </c>
    </row>
    <row r="40" spans="2:63">
      <c r="B40" s="95" t="s">
        <v>264</v>
      </c>
      <c r="C40" s="106">
        <v>2020</v>
      </c>
      <c r="D40" s="106" t="s">
        <v>152</v>
      </c>
      <c r="E40" s="106" t="s">
        <v>131</v>
      </c>
      <c r="F40" s="106" t="s">
        <v>131</v>
      </c>
      <c r="G40" s="106" t="s">
        <v>146</v>
      </c>
      <c r="H40" s="106">
        <v>273.55713222796697</v>
      </c>
      <c r="I40" s="96">
        <v>18968.788868901302</v>
      </c>
      <c r="J40" s="96">
        <v>3156.8113786577501</v>
      </c>
      <c r="K40" s="96">
        <v>5.3734562687551696E-3</v>
      </c>
      <c r="L40" s="96">
        <v>6.4056829630856698E-4</v>
      </c>
      <c r="M40" s="96">
        <v>0</v>
      </c>
      <c r="N40" s="96">
        <v>6.0140245650637403E-3</v>
      </c>
      <c r="O40" s="96">
        <v>0</v>
      </c>
      <c r="P40" s="96">
        <v>0</v>
      </c>
      <c r="Q40" s="96">
        <v>0</v>
      </c>
      <c r="R40" s="96">
        <v>0</v>
      </c>
      <c r="S40" s="96">
        <v>6.0140245650637403E-3</v>
      </c>
      <c r="T40" s="96">
        <v>6.1172709275618504E-3</v>
      </c>
      <c r="U40" s="96">
        <v>7.29238244463093E-4</v>
      </c>
      <c r="V40" s="96">
        <v>0</v>
      </c>
      <c r="W40" s="96">
        <v>6.8465091720249496E-3</v>
      </c>
      <c r="X40" s="96">
        <v>0</v>
      </c>
      <c r="Y40" s="96">
        <v>0</v>
      </c>
      <c r="Z40" s="96">
        <v>0</v>
      </c>
      <c r="AA40" s="96">
        <v>0</v>
      </c>
      <c r="AB40" s="96">
        <v>6.8465091720249496E-3</v>
      </c>
      <c r="AC40" s="96">
        <v>1.70179576875206E-2</v>
      </c>
      <c r="AD40" s="96">
        <v>8.0143719843726903E-3</v>
      </c>
      <c r="AE40" s="96">
        <v>0</v>
      </c>
      <c r="AF40" s="96">
        <v>2.50323296718933E-2</v>
      </c>
      <c r="AG40" s="96">
        <v>0.114398671153059</v>
      </c>
      <c r="AH40" s="96">
        <v>9.3737356713876792E-3</v>
      </c>
      <c r="AI40" s="96">
        <v>9.3936930493871505E-3</v>
      </c>
      <c r="AJ40" s="96">
        <v>0.13316609987383399</v>
      </c>
      <c r="AK40" s="96">
        <v>34.000194736159997</v>
      </c>
      <c r="AL40" s="96">
        <v>1.6400495641427</v>
      </c>
      <c r="AM40" s="96">
        <v>0</v>
      </c>
      <c r="AN40" s="96">
        <v>35.640244300302697</v>
      </c>
      <c r="AO40" s="96">
        <v>1.98314178727171E-3</v>
      </c>
      <c r="AP40" s="96">
        <v>1.0838005000896001E-5</v>
      </c>
      <c r="AQ40" s="96">
        <v>0</v>
      </c>
      <c r="AR40" s="96">
        <v>1.9939797922726098E-3</v>
      </c>
      <c r="AS40" s="96">
        <v>7.5274237889015703E-4</v>
      </c>
      <c r="AT40" s="96">
        <v>1.2909531797966199E-3</v>
      </c>
      <c r="AU40" s="96">
        <v>4.0376753509593797E-3</v>
      </c>
      <c r="AV40" s="96">
        <v>1.8973519514038199E-3</v>
      </c>
      <c r="AW40" s="96">
        <v>1.03691577020645E-5</v>
      </c>
      <c r="AX40" s="96">
        <v>0</v>
      </c>
      <c r="AY40" s="96">
        <v>1.90772110910588E-3</v>
      </c>
      <c r="AZ40" s="96">
        <v>1.8818559472253901E-4</v>
      </c>
      <c r="BA40" s="96">
        <v>5.5326564848426503E-4</v>
      </c>
      <c r="BB40" s="96">
        <v>2.6491723523126899E-3</v>
      </c>
      <c r="BC40" s="96">
        <v>3.2121698102071999E-4</v>
      </c>
      <c r="BD40" s="96">
        <v>1.54943750706812E-5</v>
      </c>
      <c r="BE40" s="96">
        <v>0</v>
      </c>
      <c r="BF40" s="96">
        <v>3.3671135609140198E-4</v>
      </c>
      <c r="BG40" s="96">
        <v>5.3443571319348798E-3</v>
      </c>
      <c r="BH40" s="96">
        <v>2.5779295244832601E-4</v>
      </c>
      <c r="BI40" s="96">
        <v>0</v>
      </c>
      <c r="BJ40" s="96">
        <v>5.6021500843832098E-3</v>
      </c>
      <c r="BK40" s="117">
        <v>3.1763665776882402</v>
      </c>
    </row>
    <row r="41" spans="2:63">
      <c r="B41" s="95" t="s">
        <v>264</v>
      </c>
      <c r="C41" s="106">
        <v>2020</v>
      </c>
      <c r="D41" s="106" t="s">
        <v>151</v>
      </c>
      <c r="E41" s="106" t="s">
        <v>131</v>
      </c>
      <c r="F41" s="106" t="s">
        <v>131</v>
      </c>
      <c r="G41" s="106" t="s">
        <v>146</v>
      </c>
      <c r="H41" s="106">
        <v>28.385935747923099</v>
      </c>
      <c r="I41" s="96">
        <v>2002.0130559289801</v>
      </c>
      <c r="J41" s="96">
        <v>128.33171187371599</v>
      </c>
      <c r="K41" s="96">
        <v>1.1631134798487301E-3</v>
      </c>
      <c r="L41" s="96">
        <v>4.9164845448852398E-5</v>
      </c>
      <c r="M41" s="96">
        <v>0</v>
      </c>
      <c r="N41" s="96">
        <v>1.2122783252975799E-3</v>
      </c>
      <c r="O41" s="96">
        <v>0</v>
      </c>
      <c r="P41" s="96">
        <v>0</v>
      </c>
      <c r="Q41" s="96">
        <v>0</v>
      </c>
      <c r="R41" s="96">
        <v>0</v>
      </c>
      <c r="S41" s="96">
        <v>1.2122783252975799E-3</v>
      </c>
      <c r="T41" s="96">
        <v>1.3241161591108E-3</v>
      </c>
      <c r="U41" s="96">
        <v>5.59704340521246E-5</v>
      </c>
      <c r="V41" s="96">
        <v>0</v>
      </c>
      <c r="W41" s="96">
        <v>1.38008659316292E-3</v>
      </c>
      <c r="X41" s="96">
        <v>0</v>
      </c>
      <c r="Y41" s="96">
        <v>0</v>
      </c>
      <c r="Z41" s="96">
        <v>0</v>
      </c>
      <c r="AA41" s="96">
        <v>0</v>
      </c>
      <c r="AB41" s="96">
        <v>1.38008659316292E-3</v>
      </c>
      <c r="AC41" s="96">
        <v>2.8635911477478699E-3</v>
      </c>
      <c r="AD41" s="96">
        <v>6.0422786480021E-4</v>
      </c>
      <c r="AE41" s="96">
        <v>0</v>
      </c>
      <c r="AF41" s="96">
        <v>3.4678190125480798E-3</v>
      </c>
      <c r="AG41" s="96">
        <v>1.6629200477398898E-2</v>
      </c>
      <c r="AH41" s="96">
        <v>7.27957888598048E-4</v>
      </c>
      <c r="AI41" s="96">
        <v>4.6875704789657699E-4</v>
      </c>
      <c r="AJ41" s="96">
        <v>1.7825915413893501E-2</v>
      </c>
      <c r="AK41" s="96">
        <v>4.1754441929590396</v>
      </c>
      <c r="AL41" s="96">
        <v>0.120970805418044</v>
      </c>
      <c r="AM41" s="96">
        <v>0</v>
      </c>
      <c r="AN41" s="96">
        <v>4.2964149983770898</v>
      </c>
      <c r="AO41" s="96">
        <v>3.1313178453314003E-4</v>
      </c>
      <c r="AP41" s="96">
        <v>1.23558046743325E-6</v>
      </c>
      <c r="AQ41" s="96">
        <v>0</v>
      </c>
      <c r="AR41" s="96">
        <v>3.1436736500057303E-4</v>
      </c>
      <c r="AS41" s="96">
        <v>7.9446298902077593E-5</v>
      </c>
      <c r="AT41" s="96">
        <v>1.3625040261706301E-4</v>
      </c>
      <c r="AU41" s="96">
        <v>5.3006406651971401E-4</v>
      </c>
      <c r="AV41" s="96">
        <v>2.9958584214387899E-4</v>
      </c>
      <c r="AW41" s="96">
        <v>1.18212980334911E-6</v>
      </c>
      <c r="AX41" s="96">
        <v>0</v>
      </c>
      <c r="AY41" s="96">
        <v>3.0076797194722899E-4</v>
      </c>
      <c r="AZ41" s="96">
        <v>1.9861574725519398E-5</v>
      </c>
      <c r="BA41" s="96">
        <v>5.8393029693027003E-5</v>
      </c>
      <c r="BB41" s="96">
        <v>3.79022576365775E-4</v>
      </c>
      <c r="BC41" s="96">
        <v>3.9447526359499901E-5</v>
      </c>
      <c r="BD41" s="96">
        <v>1.14287218674965E-6</v>
      </c>
      <c r="BE41" s="96">
        <v>0</v>
      </c>
      <c r="BF41" s="96">
        <v>4.0590398546249499E-5</v>
      </c>
      <c r="BG41" s="96">
        <v>6.5632168064920396E-4</v>
      </c>
      <c r="BH41" s="96">
        <v>1.9014925994063601E-5</v>
      </c>
      <c r="BI41" s="96">
        <v>0</v>
      </c>
      <c r="BJ41" s="96">
        <v>6.7533660664326699E-4</v>
      </c>
      <c r="BK41" s="117">
        <v>0.382909524686045</v>
      </c>
    </row>
    <row r="42" spans="2:63">
      <c r="B42" s="95" t="s">
        <v>264</v>
      </c>
      <c r="C42" s="106">
        <v>2020</v>
      </c>
      <c r="D42" s="106" t="s">
        <v>150</v>
      </c>
      <c r="E42" s="106" t="s">
        <v>131</v>
      </c>
      <c r="F42" s="106" t="s">
        <v>131</v>
      </c>
      <c r="G42" s="106" t="s">
        <v>146</v>
      </c>
      <c r="H42" s="106">
        <v>158.71545413881799</v>
      </c>
      <c r="I42" s="96">
        <v>6484.8562984598402</v>
      </c>
      <c r="J42" s="96">
        <v>618.99027114139199</v>
      </c>
      <c r="K42" s="96">
        <v>3.4790501973296702E-4</v>
      </c>
      <c r="L42" s="96">
        <v>2.2644406327290199E-4</v>
      </c>
      <c r="M42" s="96">
        <v>0</v>
      </c>
      <c r="N42" s="96">
        <v>5.7434908300586904E-4</v>
      </c>
      <c r="O42" s="96">
        <v>0</v>
      </c>
      <c r="P42" s="96">
        <v>0</v>
      </c>
      <c r="Q42" s="96">
        <v>0</v>
      </c>
      <c r="R42" s="96">
        <v>0</v>
      </c>
      <c r="S42" s="96">
        <v>5.7434908300586904E-4</v>
      </c>
      <c r="T42" s="96">
        <v>3.96063381987538E-4</v>
      </c>
      <c r="U42" s="96">
        <v>2.5778932882228599E-4</v>
      </c>
      <c r="V42" s="96">
        <v>0</v>
      </c>
      <c r="W42" s="96">
        <v>6.5385271080982497E-4</v>
      </c>
      <c r="X42" s="96">
        <v>0</v>
      </c>
      <c r="Y42" s="96">
        <v>0</v>
      </c>
      <c r="Z42" s="96">
        <v>0</v>
      </c>
      <c r="AA42" s="96">
        <v>0</v>
      </c>
      <c r="AB42" s="96">
        <v>6.5385271080982497E-4</v>
      </c>
      <c r="AC42" s="96">
        <v>9.7706248463538792E-4</v>
      </c>
      <c r="AD42" s="96">
        <v>1.2360983111643299E-3</v>
      </c>
      <c r="AE42" s="96">
        <v>0</v>
      </c>
      <c r="AF42" s="96">
        <v>2.21316079579972E-3</v>
      </c>
      <c r="AG42" s="96">
        <v>6.7936095665610097E-2</v>
      </c>
      <c r="AH42" s="96">
        <v>7.8019253626718504E-3</v>
      </c>
      <c r="AI42" s="96">
        <v>3.6194187601250202E-4</v>
      </c>
      <c r="AJ42" s="96">
        <v>7.6099962904294396E-2</v>
      </c>
      <c r="AK42" s="96">
        <v>30.810948203695499</v>
      </c>
      <c r="AL42" s="96">
        <v>0.82061015947493798</v>
      </c>
      <c r="AM42" s="96">
        <v>0</v>
      </c>
      <c r="AN42" s="96">
        <v>31.631558363170399</v>
      </c>
      <c r="AO42" s="96">
        <v>7.1690472340772099E-5</v>
      </c>
      <c r="AP42" s="96">
        <v>6.9964345791722202E-6</v>
      </c>
      <c r="AQ42" s="96">
        <v>0</v>
      </c>
      <c r="AR42" s="96">
        <v>7.8686906919944293E-5</v>
      </c>
      <c r="AS42" s="96">
        <v>2.5733989611041502E-4</v>
      </c>
      <c r="AT42" s="96">
        <v>4.4133792182936299E-4</v>
      </c>
      <c r="AU42" s="96">
        <v>7.7736472485972303E-4</v>
      </c>
      <c r="AV42" s="96">
        <v>6.8589174241523299E-5</v>
      </c>
      <c r="AW42" s="96">
        <v>6.6937719162905301E-6</v>
      </c>
      <c r="AX42" s="96">
        <v>0</v>
      </c>
      <c r="AY42" s="96">
        <v>7.5282946157813896E-5</v>
      </c>
      <c r="AZ42" s="96">
        <v>6.4334974027603905E-5</v>
      </c>
      <c r="BA42" s="96">
        <v>1.8914482364115501E-4</v>
      </c>
      <c r="BB42" s="96">
        <v>3.28762743826573E-4</v>
      </c>
      <c r="BC42" s="96">
        <v>2.9108656115581401E-4</v>
      </c>
      <c r="BD42" s="96">
        <v>7.7527178907929302E-6</v>
      </c>
      <c r="BE42" s="96">
        <v>0</v>
      </c>
      <c r="BF42" s="96">
        <v>2.9883927904660702E-4</v>
      </c>
      <c r="BG42" s="96">
        <v>4.8430519899043799E-3</v>
      </c>
      <c r="BH42" s="96">
        <v>1.28988489400146E-4</v>
      </c>
      <c r="BI42" s="96">
        <v>0</v>
      </c>
      <c r="BJ42" s="96">
        <v>4.9720404793045297E-3</v>
      </c>
      <c r="BK42" s="117">
        <v>2.81910033888617</v>
      </c>
    </row>
    <row r="43" spans="2:63">
      <c r="B43" s="95" t="s">
        <v>264</v>
      </c>
      <c r="C43" s="106">
        <v>2020</v>
      </c>
      <c r="D43" s="106" t="s">
        <v>149</v>
      </c>
      <c r="E43" s="106" t="s">
        <v>131</v>
      </c>
      <c r="F43" s="106" t="s">
        <v>131</v>
      </c>
      <c r="G43" s="106" t="s">
        <v>146</v>
      </c>
      <c r="H43" s="106">
        <v>164.372315537129</v>
      </c>
      <c r="I43" s="96">
        <v>22791.280745145399</v>
      </c>
      <c r="J43" s="96">
        <v>2087.5284073215498</v>
      </c>
      <c r="K43" s="96">
        <v>4.0461246849156501E-3</v>
      </c>
      <c r="L43" s="96">
        <v>3.3517588096688999E-4</v>
      </c>
      <c r="M43" s="96">
        <v>0</v>
      </c>
      <c r="N43" s="96">
        <v>4.3813005658825399E-3</v>
      </c>
      <c r="O43" s="96">
        <v>0</v>
      </c>
      <c r="P43" s="96">
        <v>0</v>
      </c>
      <c r="Q43" s="96">
        <v>0</v>
      </c>
      <c r="R43" s="96">
        <v>0</v>
      </c>
      <c r="S43" s="96">
        <v>4.3813005658825399E-3</v>
      </c>
      <c r="T43" s="96">
        <v>4.6062049575512397E-3</v>
      </c>
      <c r="U43" s="96">
        <v>3.8157222646080697E-4</v>
      </c>
      <c r="V43" s="96">
        <v>0</v>
      </c>
      <c r="W43" s="96">
        <v>4.9877771840120501E-3</v>
      </c>
      <c r="X43" s="96">
        <v>0</v>
      </c>
      <c r="Y43" s="96">
        <v>0</v>
      </c>
      <c r="Z43" s="96">
        <v>0</v>
      </c>
      <c r="AA43" s="96">
        <v>0</v>
      </c>
      <c r="AB43" s="96">
        <v>4.9877771840120501E-3</v>
      </c>
      <c r="AC43" s="96">
        <v>1.49947580532632E-2</v>
      </c>
      <c r="AD43" s="96">
        <v>3.8510726641986402E-3</v>
      </c>
      <c r="AE43" s="96">
        <v>0</v>
      </c>
      <c r="AF43" s="96">
        <v>1.88458307174619E-2</v>
      </c>
      <c r="AG43" s="96">
        <v>0.114873227739465</v>
      </c>
      <c r="AH43" s="96">
        <v>4.9913711397812704E-3</v>
      </c>
      <c r="AI43" s="96">
        <v>2.8278123437413399E-3</v>
      </c>
      <c r="AJ43" s="96">
        <v>0.122692411222988</v>
      </c>
      <c r="AK43" s="96">
        <v>35.410733717117402</v>
      </c>
      <c r="AL43" s="96">
        <v>0.81652626680748197</v>
      </c>
      <c r="AM43" s="96">
        <v>0</v>
      </c>
      <c r="AN43" s="96">
        <v>36.227259983924903</v>
      </c>
      <c r="AO43" s="96">
        <v>2.39091844067555E-3</v>
      </c>
      <c r="AP43" s="96">
        <v>8.8382225080545102E-6</v>
      </c>
      <c r="AQ43" s="96">
        <v>0</v>
      </c>
      <c r="AR43" s="96">
        <v>2.3997566631835999E-3</v>
      </c>
      <c r="AS43" s="96">
        <v>9.0443111600977105E-4</v>
      </c>
      <c r="AT43" s="96">
        <v>1.5510993639567499E-3</v>
      </c>
      <c r="AU43" s="96">
        <v>4.8552871431501296E-3</v>
      </c>
      <c r="AV43" s="96">
        <v>2.2874883672861601E-3</v>
      </c>
      <c r="AW43" s="96">
        <v>8.4558849146477294E-6</v>
      </c>
      <c r="AX43" s="96">
        <v>0</v>
      </c>
      <c r="AY43" s="96">
        <v>2.29594425220081E-3</v>
      </c>
      <c r="AZ43" s="96">
        <v>2.26107779002442E-4</v>
      </c>
      <c r="BA43" s="96">
        <v>6.6475687026718196E-4</v>
      </c>
      <c r="BB43" s="96">
        <v>3.1868089014704302E-3</v>
      </c>
      <c r="BC43" s="96">
        <v>3.34543053903277E-4</v>
      </c>
      <c r="BD43" s="96">
        <v>7.7141352978509708E-6</v>
      </c>
      <c r="BE43" s="96">
        <v>0</v>
      </c>
      <c r="BF43" s="96">
        <v>3.4225718920112802E-4</v>
      </c>
      <c r="BG43" s="96">
        <v>5.5660742168295403E-3</v>
      </c>
      <c r="BH43" s="96">
        <v>1.2834655834437599E-4</v>
      </c>
      <c r="BI43" s="96">
        <v>0</v>
      </c>
      <c r="BJ43" s="96">
        <v>5.6944207751739098E-3</v>
      </c>
      <c r="BK43" s="117">
        <v>3.2286831943288399</v>
      </c>
    </row>
    <row r="44" spans="2:63">
      <c r="B44" s="95" t="s">
        <v>264</v>
      </c>
      <c r="C44" s="106">
        <v>2020</v>
      </c>
      <c r="D44" s="106" t="s">
        <v>148</v>
      </c>
      <c r="E44" s="106" t="s">
        <v>131</v>
      </c>
      <c r="F44" s="106" t="s">
        <v>131</v>
      </c>
      <c r="G44" s="106" t="s">
        <v>146</v>
      </c>
      <c r="H44" s="106">
        <v>23.500177298299601</v>
      </c>
      <c r="I44" s="96">
        <v>1651.4845122740001</v>
      </c>
      <c r="J44" s="96">
        <v>106.24338788081999</v>
      </c>
      <c r="K44" s="96">
        <v>1.00138526058704E-3</v>
      </c>
      <c r="L44" s="96">
        <v>4.1054457273087902E-5</v>
      </c>
      <c r="M44" s="96">
        <v>0</v>
      </c>
      <c r="N44" s="96">
        <v>1.0424397178601301E-3</v>
      </c>
      <c r="O44" s="96">
        <v>0</v>
      </c>
      <c r="P44" s="96">
        <v>0</v>
      </c>
      <c r="Q44" s="96">
        <v>0</v>
      </c>
      <c r="R44" s="96">
        <v>0</v>
      </c>
      <c r="S44" s="96">
        <v>1.0424397178601301E-3</v>
      </c>
      <c r="T44" s="96">
        <v>1.14000089244184E-3</v>
      </c>
      <c r="U44" s="96">
        <v>4.67373744872164E-5</v>
      </c>
      <c r="V44" s="96">
        <v>0</v>
      </c>
      <c r="W44" s="96">
        <v>1.1867382669290499E-3</v>
      </c>
      <c r="X44" s="96">
        <v>0</v>
      </c>
      <c r="Y44" s="96">
        <v>0</v>
      </c>
      <c r="Z44" s="96">
        <v>0</v>
      </c>
      <c r="AA44" s="96">
        <v>0</v>
      </c>
      <c r="AB44" s="96">
        <v>1.1867382669290499E-3</v>
      </c>
      <c r="AC44" s="96">
        <v>2.6585211186066801E-3</v>
      </c>
      <c r="AD44" s="96">
        <v>5.0503792414385797E-4</v>
      </c>
      <c r="AE44" s="96">
        <v>0</v>
      </c>
      <c r="AF44" s="96">
        <v>3.1635590427505399E-3</v>
      </c>
      <c r="AG44" s="96">
        <v>1.37147893187161E-2</v>
      </c>
      <c r="AH44" s="96">
        <v>6.0310163708705898E-4</v>
      </c>
      <c r="AI44" s="96">
        <v>3.9531435055792201E-4</v>
      </c>
      <c r="AJ44" s="96">
        <v>1.47132053063611E-2</v>
      </c>
      <c r="AK44" s="96">
        <v>3.4545565352241301</v>
      </c>
      <c r="AL44" s="96">
        <v>0.10564100907052699</v>
      </c>
      <c r="AM44" s="96">
        <v>0</v>
      </c>
      <c r="AN44" s="96">
        <v>3.5601975442946601</v>
      </c>
      <c r="AO44" s="96">
        <v>2.34413036566908E-4</v>
      </c>
      <c r="AP44" s="96">
        <v>7.1261480175420097E-7</v>
      </c>
      <c r="AQ44" s="96">
        <v>0</v>
      </c>
      <c r="AR44" s="96">
        <v>2.3512565136866201E-4</v>
      </c>
      <c r="AS44" s="96">
        <v>6.5536202077058799E-5</v>
      </c>
      <c r="AT44" s="96">
        <v>1.12394586562155E-4</v>
      </c>
      <c r="AU44" s="96">
        <v>4.13056440007877E-4</v>
      </c>
      <c r="AV44" s="96">
        <v>2.2427243236934499E-4</v>
      </c>
      <c r="AW44" s="96">
        <v>6.8178740087348601E-7</v>
      </c>
      <c r="AX44" s="96">
        <v>0</v>
      </c>
      <c r="AY44" s="96">
        <v>2.2495421977021901E-4</v>
      </c>
      <c r="AZ44" s="96">
        <v>1.63840505192647E-5</v>
      </c>
      <c r="BA44" s="96">
        <v>4.8169108526638203E-5</v>
      </c>
      <c r="BB44" s="96">
        <v>2.8950737881612202E-4</v>
      </c>
      <c r="BC44" s="96">
        <v>3.2636937218184297E-5</v>
      </c>
      <c r="BD44" s="96">
        <v>9.9804387207018507E-7</v>
      </c>
      <c r="BE44" s="96">
        <v>0</v>
      </c>
      <c r="BF44" s="96">
        <v>3.3634981090254498E-5</v>
      </c>
      <c r="BG44" s="96">
        <v>5.4300817980498697E-4</v>
      </c>
      <c r="BH44" s="96">
        <v>1.6605295488217398E-5</v>
      </c>
      <c r="BI44" s="96">
        <v>0</v>
      </c>
      <c r="BJ44" s="96">
        <v>5.59613475293205E-4</v>
      </c>
      <c r="BK44" s="117">
        <v>0.31729559411491598</v>
      </c>
    </row>
    <row r="45" spans="2:63">
      <c r="B45" s="95" t="s">
        <v>264</v>
      </c>
      <c r="C45" s="106">
        <v>2020</v>
      </c>
      <c r="D45" s="106" t="s">
        <v>147</v>
      </c>
      <c r="E45" s="106" t="s">
        <v>131</v>
      </c>
      <c r="F45" s="106" t="s">
        <v>131</v>
      </c>
      <c r="G45" s="106" t="s">
        <v>146</v>
      </c>
      <c r="H45" s="106">
        <v>5.0777126011384102</v>
      </c>
      <c r="I45" s="96">
        <v>103.04948377241099</v>
      </c>
      <c r="J45" s="96">
        <v>58.393694913091799</v>
      </c>
      <c r="K45" s="96">
        <v>8.8359210735884101E-6</v>
      </c>
      <c r="L45" s="96">
        <v>3.30702613534537E-6</v>
      </c>
      <c r="M45" s="96">
        <v>0</v>
      </c>
      <c r="N45" s="96">
        <v>1.2142947208933699E-5</v>
      </c>
      <c r="O45" s="96">
        <v>0</v>
      </c>
      <c r="P45" s="96">
        <v>0</v>
      </c>
      <c r="Q45" s="96">
        <v>0</v>
      </c>
      <c r="R45" s="96">
        <v>0</v>
      </c>
      <c r="S45" s="96">
        <v>1.2142947208933699E-5</v>
      </c>
      <c r="T45" s="96">
        <v>1.00590235405815E-5</v>
      </c>
      <c r="U45" s="96">
        <v>3.7647975199995501E-6</v>
      </c>
      <c r="V45" s="96">
        <v>0</v>
      </c>
      <c r="W45" s="96">
        <v>1.3823821060581E-5</v>
      </c>
      <c r="X45" s="96">
        <v>0</v>
      </c>
      <c r="Y45" s="96">
        <v>0</v>
      </c>
      <c r="Z45" s="96">
        <v>0</v>
      </c>
      <c r="AA45" s="96">
        <v>0</v>
      </c>
      <c r="AB45" s="96">
        <v>1.3823821060581E-5</v>
      </c>
      <c r="AC45" s="96">
        <v>3.5241794464737097E-5</v>
      </c>
      <c r="AD45" s="96">
        <v>3.8390536373489003E-5</v>
      </c>
      <c r="AE45" s="96">
        <v>0</v>
      </c>
      <c r="AF45" s="96">
        <v>7.3632330838226093E-5</v>
      </c>
      <c r="AG45" s="96">
        <v>5.3445035256596395E-4</v>
      </c>
      <c r="AH45" s="96">
        <v>7.6527327767402596E-5</v>
      </c>
      <c r="AI45" s="96">
        <v>1.3657389317843399E-4</v>
      </c>
      <c r="AJ45" s="96">
        <v>7.4755157351180201E-4</v>
      </c>
      <c r="AK45" s="96">
        <v>0.19591876873262001</v>
      </c>
      <c r="AL45" s="96">
        <v>1.00154332960719E-2</v>
      </c>
      <c r="AM45" s="96">
        <v>0</v>
      </c>
      <c r="AN45" s="96">
        <v>0.205934202028692</v>
      </c>
      <c r="AO45" s="96">
        <v>2.0983824516841499E-6</v>
      </c>
      <c r="AP45" s="96">
        <v>5.3226590881501298E-8</v>
      </c>
      <c r="AQ45" s="96">
        <v>0</v>
      </c>
      <c r="AR45" s="96">
        <v>2.1516090425656501E-6</v>
      </c>
      <c r="AS45" s="96">
        <v>4.0893340157009403E-6</v>
      </c>
      <c r="AT45" s="96">
        <v>7.0132078369271098E-6</v>
      </c>
      <c r="AU45" s="96">
        <v>1.32541508951937E-5</v>
      </c>
      <c r="AV45" s="96">
        <v>2.0076073556857398E-6</v>
      </c>
      <c r="AW45" s="96">
        <v>5.0924032121033898E-8</v>
      </c>
      <c r="AX45" s="96">
        <v>0</v>
      </c>
      <c r="AY45" s="96">
        <v>2.0585313878067801E-6</v>
      </c>
      <c r="AZ45" s="96">
        <v>1.02233350392523E-6</v>
      </c>
      <c r="BA45" s="96">
        <v>3.0056605015401898E-6</v>
      </c>
      <c r="BB45" s="96">
        <v>6.0865253932722002E-6</v>
      </c>
      <c r="BC45" s="96">
        <v>1.8509433815288999E-6</v>
      </c>
      <c r="BD45" s="96">
        <v>9.4620847672884904E-8</v>
      </c>
      <c r="BE45" s="96">
        <v>0</v>
      </c>
      <c r="BF45" s="96">
        <v>1.94556422920178E-6</v>
      </c>
      <c r="BG45" s="96">
        <v>3.0795702115273703E-5</v>
      </c>
      <c r="BH45" s="96">
        <v>1.5742866410219001E-6</v>
      </c>
      <c r="BI45" s="96">
        <v>0</v>
      </c>
      <c r="BJ45" s="96">
        <v>3.2369988756295597E-5</v>
      </c>
      <c r="BK45" s="117">
        <v>1.8353480156174998E-2</v>
      </c>
    </row>
    <row r="46" spans="2:63">
      <c r="B46" s="95" t="s">
        <v>264</v>
      </c>
      <c r="C46" s="106">
        <v>2020</v>
      </c>
      <c r="D46" s="106" t="s">
        <v>132</v>
      </c>
      <c r="E46" s="106" t="s">
        <v>131</v>
      </c>
      <c r="F46" s="106" t="s">
        <v>131</v>
      </c>
      <c r="G46" s="106" t="s">
        <v>146</v>
      </c>
      <c r="H46" s="106">
        <v>304.33319671122803</v>
      </c>
      <c r="I46" s="96">
        <v>24341.1487566551</v>
      </c>
      <c r="J46" s="96">
        <v>1217.3327868449101</v>
      </c>
      <c r="K46" s="96">
        <v>9.34677486040745E-5</v>
      </c>
      <c r="L46" s="96">
        <v>0</v>
      </c>
      <c r="M46" s="96">
        <v>0</v>
      </c>
      <c r="N46" s="96">
        <v>9.34677486040745E-5</v>
      </c>
      <c r="O46" s="96">
        <v>0</v>
      </c>
      <c r="P46" s="96">
        <v>0</v>
      </c>
      <c r="Q46" s="96">
        <v>0</v>
      </c>
      <c r="R46" s="96">
        <v>0</v>
      </c>
      <c r="S46" s="96">
        <v>9.34677486040745E-5</v>
      </c>
      <c r="T46" s="96">
        <v>6.6762677574338904E-3</v>
      </c>
      <c r="U46" s="96">
        <v>0</v>
      </c>
      <c r="V46" s="96">
        <v>0</v>
      </c>
      <c r="W46" s="96">
        <v>6.6762677574338904E-3</v>
      </c>
      <c r="X46" s="96">
        <v>0</v>
      </c>
      <c r="Y46" s="96">
        <v>0</v>
      </c>
      <c r="Z46" s="96">
        <v>0</v>
      </c>
      <c r="AA46" s="96">
        <v>0</v>
      </c>
      <c r="AB46" s="96">
        <v>6.6762677574338904E-3</v>
      </c>
      <c r="AC46" s="96">
        <v>1.0618281396408399E-2</v>
      </c>
      <c r="AD46" s="96">
        <v>0</v>
      </c>
      <c r="AE46" s="96">
        <v>0</v>
      </c>
      <c r="AF46" s="96">
        <v>1.0618281396408399E-2</v>
      </c>
      <c r="AG46" s="96">
        <v>0.104508887492573</v>
      </c>
      <c r="AH46" s="96">
        <v>0</v>
      </c>
      <c r="AI46" s="96">
        <v>0</v>
      </c>
      <c r="AJ46" s="96">
        <v>0.104508887492573</v>
      </c>
      <c r="AK46" s="96">
        <v>47.437637040542597</v>
      </c>
      <c r="AL46" s="96">
        <v>0</v>
      </c>
      <c r="AM46" s="96">
        <v>0</v>
      </c>
      <c r="AN46" s="96">
        <v>47.437637040542597</v>
      </c>
      <c r="AO46" s="96">
        <v>2.27880211695627E-4</v>
      </c>
      <c r="AP46" s="96">
        <v>0</v>
      </c>
      <c r="AQ46" s="96">
        <v>0</v>
      </c>
      <c r="AR46" s="96">
        <v>2.27880211695627E-4</v>
      </c>
      <c r="AS46" s="96">
        <v>8.4720064083399697E-4</v>
      </c>
      <c r="AT46" s="96">
        <v>1.99596162221828E-3</v>
      </c>
      <c r="AU46" s="96">
        <v>3.0710424747478998E-3</v>
      </c>
      <c r="AV46" s="96">
        <v>2.1802221461020299E-4</v>
      </c>
      <c r="AW46" s="96">
        <v>0</v>
      </c>
      <c r="AX46" s="96">
        <v>0</v>
      </c>
      <c r="AY46" s="96">
        <v>2.1802221461020299E-4</v>
      </c>
      <c r="AZ46" s="96">
        <v>2.11800160208499E-4</v>
      </c>
      <c r="BA46" s="96">
        <v>8.5541212380783503E-4</v>
      </c>
      <c r="BB46" s="96">
        <v>1.2852344986265299E-3</v>
      </c>
      <c r="BC46" s="96">
        <v>4.48456266477774E-4</v>
      </c>
      <c r="BD46" s="96">
        <v>0</v>
      </c>
      <c r="BE46" s="96">
        <v>0</v>
      </c>
      <c r="BF46" s="96">
        <v>4.48456266477774E-4</v>
      </c>
      <c r="BG46" s="96">
        <v>7.45653593478197E-3</v>
      </c>
      <c r="BH46" s="96">
        <v>0</v>
      </c>
      <c r="BI46" s="96">
        <v>0</v>
      </c>
      <c r="BJ46" s="96">
        <v>7.45653593478197E-3</v>
      </c>
      <c r="BK46" s="117">
        <v>4.2277859699969902</v>
      </c>
    </row>
    <row r="47" spans="2:63">
      <c r="B47" s="95" t="s">
        <v>264</v>
      </c>
      <c r="C47" s="106">
        <v>2020</v>
      </c>
      <c r="D47" s="106" t="s">
        <v>144</v>
      </c>
      <c r="E47" s="106" t="s">
        <v>131</v>
      </c>
      <c r="F47" s="106" t="s">
        <v>131</v>
      </c>
      <c r="G47" s="106" t="s">
        <v>145</v>
      </c>
      <c r="H47" s="106">
        <v>6017.2371753834996</v>
      </c>
      <c r="I47" s="96">
        <v>204448.159158867</v>
      </c>
      <c r="J47" s="96">
        <v>29962.6998337367</v>
      </c>
      <c r="K47" s="96">
        <v>0</v>
      </c>
      <c r="L47" s="96">
        <v>0</v>
      </c>
      <c r="M47" s="96">
        <v>0</v>
      </c>
      <c r="N47" s="96">
        <v>0</v>
      </c>
      <c r="O47" s="96">
        <v>7.9610960119663398E-5</v>
      </c>
      <c r="P47" s="96">
        <v>1.61442774625103E-4</v>
      </c>
      <c r="Q47" s="96">
        <v>0</v>
      </c>
      <c r="R47" s="96">
        <v>2.0745937961757599E-5</v>
      </c>
      <c r="S47" s="96">
        <v>2.6179967270652401E-4</v>
      </c>
      <c r="T47" s="96">
        <v>0</v>
      </c>
      <c r="U47" s="96">
        <v>0</v>
      </c>
      <c r="V47" s="96">
        <v>0</v>
      </c>
      <c r="W47" s="96">
        <v>0</v>
      </c>
      <c r="X47" s="96">
        <v>7.9610960119663398E-5</v>
      </c>
      <c r="Y47" s="96">
        <v>1.61442774625037E-4</v>
      </c>
      <c r="Z47" s="96">
        <v>0</v>
      </c>
      <c r="AA47" s="96">
        <v>2.0745937961757599E-5</v>
      </c>
      <c r="AB47" s="96">
        <v>2.6179967270645798E-4</v>
      </c>
      <c r="AC47" s="96">
        <v>0</v>
      </c>
      <c r="AD47" s="96">
        <v>0</v>
      </c>
      <c r="AE47" s="96">
        <v>0</v>
      </c>
      <c r="AF47" s="96">
        <v>0</v>
      </c>
      <c r="AG47" s="96">
        <v>0</v>
      </c>
      <c r="AH47" s="96">
        <v>0</v>
      </c>
      <c r="AI47" s="96">
        <v>0</v>
      </c>
      <c r="AJ47" s="96">
        <v>0</v>
      </c>
      <c r="AK47" s="96">
        <v>0</v>
      </c>
      <c r="AL47" s="96">
        <v>0</v>
      </c>
      <c r="AM47" s="96">
        <v>0</v>
      </c>
      <c r="AN47" s="96">
        <v>0</v>
      </c>
      <c r="AO47" s="96">
        <v>0</v>
      </c>
      <c r="AP47" s="96">
        <v>0</v>
      </c>
      <c r="AQ47" s="96">
        <v>0</v>
      </c>
      <c r="AR47" s="96">
        <v>0</v>
      </c>
      <c r="AS47" s="96">
        <v>1.8029241467079099E-3</v>
      </c>
      <c r="AT47" s="96">
        <v>8.2821827989394605E-3</v>
      </c>
      <c r="AU47" s="96">
        <v>1.00851069456473E-2</v>
      </c>
      <c r="AV47" s="96">
        <v>0</v>
      </c>
      <c r="AW47" s="96">
        <v>0</v>
      </c>
      <c r="AX47" s="96">
        <v>0</v>
      </c>
      <c r="AY47" s="96">
        <v>0</v>
      </c>
      <c r="AZ47" s="96">
        <v>4.50731036676977E-4</v>
      </c>
      <c r="BA47" s="96">
        <v>3.54950691383119E-3</v>
      </c>
      <c r="BB47" s="96">
        <v>4.0002379505081698E-3</v>
      </c>
      <c r="BC47" s="96">
        <v>0</v>
      </c>
      <c r="BD47" s="96">
        <v>0</v>
      </c>
      <c r="BE47" s="96">
        <v>0</v>
      </c>
      <c r="BF47" s="96">
        <v>0</v>
      </c>
      <c r="BG47" s="96">
        <v>0</v>
      </c>
      <c r="BH47" s="96">
        <v>0</v>
      </c>
      <c r="BI47" s="96">
        <v>0</v>
      </c>
      <c r="BJ47" s="96">
        <v>0</v>
      </c>
      <c r="BK47" s="117">
        <v>0</v>
      </c>
    </row>
    <row r="48" spans="2:63">
      <c r="B48" s="95" t="s">
        <v>264</v>
      </c>
      <c r="C48" s="106">
        <v>2020</v>
      </c>
      <c r="D48" s="106" t="s">
        <v>143</v>
      </c>
      <c r="E48" s="106" t="s">
        <v>131</v>
      </c>
      <c r="F48" s="106" t="s">
        <v>131</v>
      </c>
      <c r="G48" s="106" t="s">
        <v>145</v>
      </c>
      <c r="H48" s="106">
        <v>163.41795884133799</v>
      </c>
      <c r="I48" s="96">
        <v>5609.7747491448499</v>
      </c>
      <c r="J48" s="96">
        <v>815.06115279745904</v>
      </c>
      <c r="K48" s="96">
        <v>0</v>
      </c>
      <c r="L48" s="96">
        <v>0</v>
      </c>
      <c r="M48" s="96">
        <v>0</v>
      </c>
      <c r="N48" s="96">
        <v>0</v>
      </c>
      <c r="O48" s="96">
        <v>2.1620986883112799E-6</v>
      </c>
      <c r="P48" s="96">
        <v>4.3916514441931899E-6</v>
      </c>
      <c r="Q48" s="96">
        <v>0</v>
      </c>
      <c r="R48" s="96">
        <v>5.6342449817816598E-7</v>
      </c>
      <c r="S48" s="96">
        <v>7.1171746306826398E-6</v>
      </c>
      <c r="T48" s="96">
        <v>0</v>
      </c>
      <c r="U48" s="96">
        <v>0</v>
      </c>
      <c r="V48" s="96">
        <v>0</v>
      </c>
      <c r="W48" s="96">
        <v>0</v>
      </c>
      <c r="X48" s="96">
        <v>2.1620986883112799E-6</v>
      </c>
      <c r="Y48" s="96">
        <v>4.3916514441913798E-6</v>
      </c>
      <c r="Z48" s="96">
        <v>0</v>
      </c>
      <c r="AA48" s="96">
        <v>5.6342449817816598E-7</v>
      </c>
      <c r="AB48" s="96">
        <v>7.1171746306808297E-6</v>
      </c>
      <c r="AC48" s="96">
        <v>0</v>
      </c>
      <c r="AD48" s="96">
        <v>0</v>
      </c>
      <c r="AE48" s="96">
        <v>0</v>
      </c>
      <c r="AF48" s="96">
        <v>0</v>
      </c>
      <c r="AG48" s="96">
        <v>0</v>
      </c>
      <c r="AH48" s="96">
        <v>0</v>
      </c>
      <c r="AI48" s="96">
        <v>0</v>
      </c>
      <c r="AJ48" s="96">
        <v>0</v>
      </c>
      <c r="AK48" s="96">
        <v>0</v>
      </c>
      <c r="AL48" s="96">
        <v>0</v>
      </c>
      <c r="AM48" s="96">
        <v>0</v>
      </c>
      <c r="AN48" s="96">
        <v>0</v>
      </c>
      <c r="AO48" s="96">
        <v>0</v>
      </c>
      <c r="AP48" s="96">
        <v>0</v>
      </c>
      <c r="AQ48" s="96">
        <v>0</v>
      </c>
      <c r="AR48" s="96">
        <v>0</v>
      </c>
      <c r="AS48" s="96">
        <v>4.9469745261763099E-5</v>
      </c>
      <c r="AT48" s="96">
        <v>2.27251642296224E-4</v>
      </c>
      <c r="AU48" s="96">
        <v>2.7672138755798701E-4</v>
      </c>
      <c r="AV48" s="96">
        <v>0</v>
      </c>
      <c r="AW48" s="96">
        <v>0</v>
      </c>
      <c r="AX48" s="96">
        <v>0</v>
      </c>
      <c r="AY48" s="96">
        <v>0</v>
      </c>
      <c r="AZ48" s="96">
        <v>1.23674363154407E-5</v>
      </c>
      <c r="BA48" s="96">
        <v>9.7393560984096206E-5</v>
      </c>
      <c r="BB48" s="96">
        <v>1.09760997299537E-4</v>
      </c>
      <c r="BC48" s="96">
        <v>0</v>
      </c>
      <c r="BD48" s="96">
        <v>0</v>
      </c>
      <c r="BE48" s="96">
        <v>0</v>
      </c>
      <c r="BF48" s="96">
        <v>0</v>
      </c>
      <c r="BG48" s="96">
        <v>0</v>
      </c>
      <c r="BH48" s="96">
        <v>0</v>
      </c>
      <c r="BI48" s="96">
        <v>0</v>
      </c>
      <c r="BJ48" s="96">
        <v>0</v>
      </c>
      <c r="BK48" s="117">
        <v>0</v>
      </c>
    </row>
    <row r="49" spans="2:63">
      <c r="B49" s="95" t="s">
        <v>264</v>
      </c>
      <c r="C49" s="106">
        <v>2020</v>
      </c>
      <c r="D49" s="106" t="s">
        <v>142</v>
      </c>
      <c r="E49" s="106" t="s">
        <v>131</v>
      </c>
      <c r="F49" s="106" t="s">
        <v>131</v>
      </c>
      <c r="G49" s="106" t="s">
        <v>145</v>
      </c>
      <c r="H49" s="106">
        <v>1020.3334016218799</v>
      </c>
      <c r="I49" s="96">
        <v>30338.085144815101</v>
      </c>
      <c r="J49" s="96">
        <v>5164.6075876816003</v>
      </c>
      <c r="K49" s="96">
        <v>0</v>
      </c>
      <c r="L49" s="96">
        <v>0</v>
      </c>
      <c r="M49" s="96">
        <v>0</v>
      </c>
      <c r="N49" s="96">
        <v>0</v>
      </c>
      <c r="O49" s="96">
        <v>1.34995047357599E-5</v>
      </c>
      <c r="P49" s="96">
        <v>2.78275517036808E-5</v>
      </c>
      <c r="Q49" s="96">
        <v>0</v>
      </c>
      <c r="R49" s="96">
        <v>3.5178559251335499E-6</v>
      </c>
      <c r="S49" s="96">
        <v>4.4844912364574298E-5</v>
      </c>
      <c r="T49" s="96">
        <v>0</v>
      </c>
      <c r="U49" s="96">
        <v>0</v>
      </c>
      <c r="V49" s="96">
        <v>0</v>
      </c>
      <c r="W49" s="96">
        <v>0</v>
      </c>
      <c r="X49" s="96">
        <v>1.34995047357599E-5</v>
      </c>
      <c r="Y49" s="96">
        <v>2.7827551703669399E-5</v>
      </c>
      <c r="Z49" s="96">
        <v>0</v>
      </c>
      <c r="AA49" s="96">
        <v>3.5178559251335499E-6</v>
      </c>
      <c r="AB49" s="96">
        <v>4.48449123645629E-5</v>
      </c>
      <c r="AC49" s="96">
        <v>0</v>
      </c>
      <c r="AD49" s="96">
        <v>0</v>
      </c>
      <c r="AE49" s="96">
        <v>0</v>
      </c>
      <c r="AF49" s="96">
        <v>0</v>
      </c>
      <c r="AG49" s="96">
        <v>0</v>
      </c>
      <c r="AH49" s="96">
        <v>0</v>
      </c>
      <c r="AI49" s="96">
        <v>0</v>
      </c>
      <c r="AJ49" s="96">
        <v>0</v>
      </c>
      <c r="AK49" s="96">
        <v>0</v>
      </c>
      <c r="AL49" s="96">
        <v>0</v>
      </c>
      <c r="AM49" s="96">
        <v>0</v>
      </c>
      <c r="AN49" s="96">
        <v>0</v>
      </c>
      <c r="AO49" s="96">
        <v>0</v>
      </c>
      <c r="AP49" s="96">
        <v>0</v>
      </c>
      <c r="AQ49" s="96">
        <v>0</v>
      </c>
      <c r="AR49" s="96">
        <v>0</v>
      </c>
      <c r="AS49" s="96">
        <v>2.6753611525533497E-4</v>
      </c>
      <c r="AT49" s="96">
        <v>1.2289940294541899E-3</v>
      </c>
      <c r="AU49" s="96">
        <v>1.49653014470953E-3</v>
      </c>
      <c r="AV49" s="96">
        <v>0</v>
      </c>
      <c r="AW49" s="96">
        <v>0</v>
      </c>
      <c r="AX49" s="96">
        <v>0</v>
      </c>
      <c r="AY49" s="96">
        <v>0</v>
      </c>
      <c r="AZ49" s="96">
        <v>6.6884028813833798E-5</v>
      </c>
      <c r="BA49" s="96">
        <v>5.2671172690894105E-4</v>
      </c>
      <c r="BB49" s="96">
        <v>5.9359575572277498E-4</v>
      </c>
      <c r="BC49" s="96">
        <v>0</v>
      </c>
      <c r="BD49" s="96">
        <v>0</v>
      </c>
      <c r="BE49" s="96">
        <v>0</v>
      </c>
      <c r="BF49" s="96">
        <v>0</v>
      </c>
      <c r="BG49" s="96">
        <v>0</v>
      </c>
      <c r="BH49" s="96">
        <v>0</v>
      </c>
      <c r="BI49" s="96">
        <v>0</v>
      </c>
      <c r="BJ49" s="96">
        <v>0</v>
      </c>
      <c r="BK49" s="117">
        <v>0</v>
      </c>
    </row>
    <row r="50" spans="2:63">
      <c r="B50" s="95" t="s">
        <v>264</v>
      </c>
      <c r="C50" s="106">
        <v>2020</v>
      </c>
      <c r="D50" s="106" t="s">
        <v>138</v>
      </c>
      <c r="E50" s="106" t="s">
        <v>131</v>
      </c>
      <c r="F50" s="106" t="s">
        <v>131</v>
      </c>
      <c r="G50" s="106" t="s">
        <v>145</v>
      </c>
      <c r="H50" s="106">
        <v>261.45589543410802</v>
      </c>
      <c r="I50" s="96">
        <v>8157.3753965669002</v>
      </c>
      <c r="J50" s="96">
        <v>1343.7372915094199</v>
      </c>
      <c r="K50" s="96">
        <v>0</v>
      </c>
      <c r="L50" s="96">
        <v>0</v>
      </c>
      <c r="M50" s="96">
        <v>0</v>
      </c>
      <c r="N50" s="96">
        <v>0</v>
      </c>
      <c r="O50" s="96">
        <v>3.45918803892404E-6</v>
      </c>
      <c r="P50" s="96">
        <v>7.2402246096742496E-6</v>
      </c>
      <c r="Q50" s="96">
        <v>0</v>
      </c>
      <c r="R50" s="96">
        <v>9.0143493239754299E-7</v>
      </c>
      <c r="S50" s="96">
        <v>1.16008475809958E-5</v>
      </c>
      <c r="T50" s="96">
        <v>0</v>
      </c>
      <c r="U50" s="96">
        <v>0</v>
      </c>
      <c r="V50" s="96">
        <v>0</v>
      </c>
      <c r="W50" s="96">
        <v>0</v>
      </c>
      <c r="X50" s="96">
        <v>3.45918803892404E-6</v>
      </c>
      <c r="Y50" s="96">
        <v>7.2402246096712698E-6</v>
      </c>
      <c r="Z50" s="96">
        <v>0</v>
      </c>
      <c r="AA50" s="96">
        <v>9.0143493239754299E-7</v>
      </c>
      <c r="AB50" s="96">
        <v>1.16008475809928E-5</v>
      </c>
      <c r="AC50" s="96">
        <v>0</v>
      </c>
      <c r="AD50" s="96">
        <v>0</v>
      </c>
      <c r="AE50" s="96">
        <v>0</v>
      </c>
      <c r="AF50" s="96">
        <v>0</v>
      </c>
      <c r="AG50" s="96">
        <v>0</v>
      </c>
      <c r="AH50" s="96">
        <v>0</v>
      </c>
      <c r="AI50" s="96">
        <v>0</v>
      </c>
      <c r="AJ50" s="96">
        <v>0</v>
      </c>
      <c r="AK50" s="96">
        <v>0</v>
      </c>
      <c r="AL50" s="96">
        <v>0</v>
      </c>
      <c r="AM50" s="96">
        <v>0</v>
      </c>
      <c r="AN50" s="96">
        <v>0</v>
      </c>
      <c r="AO50" s="96">
        <v>0</v>
      </c>
      <c r="AP50" s="96">
        <v>0</v>
      </c>
      <c r="AQ50" s="96">
        <v>0</v>
      </c>
      <c r="AR50" s="96">
        <v>0</v>
      </c>
      <c r="AS50" s="96">
        <v>7.1935737336736096E-5</v>
      </c>
      <c r="AT50" s="96">
        <v>3.3045479339063102E-4</v>
      </c>
      <c r="AU50" s="96">
        <v>4.0239053072736698E-4</v>
      </c>
      <c r="AV50" s="96">
        <v>0</v>
      </c>
      <c r="AW50" s="96">
        <v>0</v>
      </c>
      <c r="AX50" s="96">
        <v>0</v>
      </c>
      <c r="AY50" s="96">
        <v>0</v>
      </c>
      <c r="AZ50" s="96">
        <v>1.7983934334184E-5</v>
      </c>
      <c r="BA50" s="96">
        <v>1.4162348288169899E-4</v>
      </c>
      <c r="BB50" s="96">
        <v>1.5960741721588299E-4</v>
      </c>
      <c r="BC50" s="96">
        <v>0</v>
      </c>
      <c r="BD50" s="96">
        <v>0</v>
      </c>
      <c r="BE50" s="96">
        <v>0</v>
      </c>
      <c r="BF50" s="96">
        <v>0</v>
      </c>
      <c r="BG50" s="96">
        <v>0</v>
      </c>
      <c r="BH50" s="96">
        <v>0</v>
      </c>
      <c r="BI50" s="96">
        <v>0</v>
      </c>
      <c r="BJ50" s="96">
        <v>0</v>
      </c>
      <c r="BK50" s="117">
        <v>0</v>
      </c>
    </row>
    <row r="51" spans="2:63">
      <c r="B51" s="95" t="s">
        <v>264</v>
      </c>
      <c r="C51" s="106">
        <v>2020</v>
      </c>
      <c r="D51" s="106" t="s">
        <v>144</v>
      </c>
      <c r="E51" s="106" t="s">
        <v>131</v>
      </c>
      <c r="F51" s="106" t="s">
        <v>131</v>
      </c>
      <c r="G51" s="106" t="s">
        <v>130</v>
      </c>
      <c r="H51" s="106">
        <v>276841.34078770498</v>
      </c>
      <c r="I51" s="96">
        <v>9054699.1224976107</v>
      </c>
      <c r="J51" s="96">
        <v>1312664.3784129301</v>
      </c>
      <c r="K51" s="96">
        <v>0.113668336163711</v>
      </c>
      <c r="L51" s="96">
        <v>0</v>
      </c>
      <c r="M51" s="96">
        <v>0.42485901021021399</v>
      </c>
      <c r="N51" s="96">
        <v>0.53852734637392496</v>
      </c>
      <c r="O51" s="96">
        <v>5.8955113697436501E-2</v>
      </c>
      <c r="P51" s="96">
        <v>0.15886676367541</v>
      </c>
      <c r="Q51" s="96">
        <v>0.33873615431822401</v>
      </c>
      <c r="R51" s="96">
        <v>5.7711741358039997E-2</v>
      </c>
      <c r="S51" s="96">
        <v>1.15279711942303</v>
      </c>
      <c r="T51" s="96">
        <v>0.16581556412855</v>
      </c>
      <c r="U51" s="96">
        <v>0</v>
      </c>
      <c r="V51" s="96">
        <v>0.46516287015426999</v>
      </c>
      <c r="W51" s="96">
        <v>0.63097843428282097</v>
      </c>
      <c r="X51" s="96">
        <v>5.8955113697436501E-2</v>
      </c>
      <c r="Y51" s="96">
        <v>0.158866763675345</v>
      </c>
      <c r="Z51" s="96">
        <v>0.33873615431808501</v>
      </c>
      <c r="AA51" s="96">
        <v>5.7711741358039997E-2</v>
      </c>
      <c r="AB51" s="96">
        <v>1.2452482073317199</v>
      </c>
      <c r="AC51" s="96">
        <v>6.8896221966180198</v>
      </c>
      <c r="AD51" s="96">
        <v>0</v>
      </c>
      <c r="AE51" s="96">
        <v>3.6071915657274598</v>
      </c>
      <c r="AF51" s="96">
        <v>10.496813762345401</v>
      </c>
      <c r="AG51" s="96">
        <v>0.47652402987734699</v>
      </c>
      <c r="AH51" s="96">
        <v>0</v>
      </c>
      <c r="AI51" s="96">
        <v>0.321215373408196</v>
      </c>
      <c r="AJ51" s="96">
        <v>0.79773940328554305</v>
      </c>
      <c r="AK51" s="96">
        <v>2682.84998909674</v>
      </c>
      <c r="AL51" s="96">
        <v>0</v>
      </c>
      <c r="AM51" s="96">
        <v>83.257714176113097</v>
      </c>
      <c r="AN51" s="96">
        <v>2766.1077032728499</v>
      </c>
      <c r="AO51" s="96">
        <v>1.5595311007549699E-2</v>
      </c>
      <c r="AP51" s="96">
        <v>0</v>
      </c>
      <c r="AQ51" s="96">
        <v>3.0941049567861198E-3</v>
      </c>
      <c r="AR51" s="96">
        <v>1.86894159643358E-2</v>
      </c>
      <c r="AS51" s="96">
        <v>7.9848778077970001E-2</v>
      </c>
      <c r="AT51" s="96">
        <v>0.36680532429567397</v>
      </c>
      <c r="AU51" s="96">
        <v>0.46534351833797999</v>
      </c>
      <c r="AV51" s="96">
        <v>1.4339455684412399E-2</v>
      </c>
      <c r="AW51" s="96">
        <v>0</v>
      </c>
      <c r="AX51" s="96">
        <v>2.84513022991013E-3</v>
      </c>
      <c r="AY51" s="96">
        <v>1.7184585914322498E-2</v>
      </c>
      <c r="AZ51" s="96">
        <v>1.99621945194925E-2</v>
      </c>
      <c r="BA51" s="96">
        <v>0.15720228184100299</v>
      </c>
      <c r="BB51" s="96">
        <v>0.19434906227481799</v>
      </c>
      <c r="BC51" s="96">
        <v>2.6548975510433101E-2</v>
      </c>
      <c r="BD51" s="96">
        <v>0</v>
      </c>
      <c r="BE51" s="96">
        <v>8.2390257513446203E-4</v>
      </c>
      <c r="BF51" s="96">
        <v>2.7372878085567601E-2</v>
      </c>
      <c r="BG51" s="96">
        <v>4.9512430143901297E-2</v>
      </c>
      <c r="BH51" s="96">
        <v>0</v>
      </c>
      <c r="BI51" s="96">
        <v>4.0407974509000702E-2</v>
      </c>
      <c r="BJ51" s="96">
        <v>8.9920404652902006E-2</v>
      </c>
      <c r="BK51" s="117">
        <v>291.97152681551802</v>
      </c>
    </row>
    <row r="52" spans="2:63">
      <c r="B52" s="95" t="s">
        <v>264</v>
      </c>
      <c r="C52" s="106">
        <v>2020</v>
      </c>
      <c r="D52" s="106" t="s">
        <v>143</v>
      </c>
      <c r="E52" s="106" t="s">
        <v>131</v>
      </c>
      <c r="F52" s="106" t="s">
        <v>131</v>
      </c>
      <c r="G52" s="106" t="s">
        <v>130</v>
      </c>
      <c r="H52" s="106">
        <v>36414.573843866601</v>
      </c>
      <c r="I52" s="96">
        <v>1189383.2344228399</v>
      </c>
      <c r="J52" s="96">
        <v>172205.36741315399</v>
      </c>
      <c r="K52" s="96">
        <v>2.6260457831551998E-2</v>
      </c>
      <c r="L52" s="96">
        <v>0</v>
      </c>
      <c r="M52" s="96">
        <v>6.6882008487180705E-2</v>
      </c>
      <c r="N52" s="96">
        <v>9.31424663187327E-2</v>
      </c>
      <c r="O52" s="96">
        <v>1.20622656792253E-2</v>
      </c>
      <c r="P52" s="96">
        <v>2.7849630069203699E-2</v>
      </c>
      <c r="Q52" s="96">
        <v>0.105595144278658</v>
      </c>
      <c r="R52" s="96">
        <v>1.08937057334996E-2</v>
      </c>
      <c r="S52" s="96">
        <v>0.24954321207931901</v>
      </c>
      <c r="T52" s="96">
        <v>3.8276959722244999E-2</v>
      </c>
      <c r="U52" s="96">
        <v>0</v>
      </c>
      <c r="V52" s="96">
        <v>7.3226808455677098E-2</v>
      </c>
      <c r="W52" s="96">
        <v>0.111503768177922</v>
      </c>
      <c r="X52" s="96">
        <v>1.20622656792253E-2</v>
      </c>
      <c r="Y52" s="96">
        <v>2.7849630069192201E-2</v>
      </c>
      <c r="Z52" s="96">
        <v>0.10559514427861399</v>
      </c>
      <c r="AA52" s="96">
        <v>1.08937057334996E-2</v>
      </c>
      <c r="AB52" s="96">
        <v>0.26790451393845399</v>
      </c>
      <c r="AC52" s="96">
        <v>1.31025848348771</v>
      </c>
      <c r="AD52" s="96">
        <v>0</v>
      </c>
      <c r="AE52" s="96">
        <v>0.48321732043221699</v>
      </c>
      <c r="AF52" s="96">
        <v>1.7934758039199299</v>
      </c>
      <c r="AG52" s="96">
        <v>0.116520143560471</v>
      </c>
      <c r="AH52" s="96">
        <v>0</v>
      </c>
      <c r="AI52" s="96">
        <v>4.8230558477975402E-2</v>
      </c>
      <c r="AJ52" s="96">
        <v>0.16475070203844699</v>
      </c>
      <c r="AK52" s="96">
        <v>400.90788358353097</v>
      </c>
      <c r="AL52" s="96">
        <v>0</v>
      </c>
      <c r="AM52" s="96">
        <v>12.4169808385675</v>
      </c>
      <c r="AN52" s="96">
        <v>413.32486442209802</v>
      </c>
      <c r="AO52" s="96">
        <v>2.6897409969702198E-3</v>
      </c>
      <c r="AP52" s="96">
        <v>0</v>
      </c>
      <c r="AQ52" s="96">
        <v>5.0113146368640398E-4</v>
      </c>
      <c r="AR52" s="96">
        <v>3.19087246065662E-3</v>
      </c>
      <c r="AS52" s="96">
        <v>1.0488564738625E-2</v>
      </c>
      <c r="AT52" s="96">
        <v>4.8181844268058799E-2</v>
      </c>
      <c r="AU52" s="96">
        <v>6.1861281467340497E-2</v>
      </c>
      <c r="AV52" s="96">
        <v>2.47326972640367E-3</v>
      </c>
      <c r="AW52" s="96">
        <v>0</v>
      </c>
      <c r="AX52" s="96">
        <v>4.6080866577438999E-4</v>
      </c>
      <c r="AY52" s="96">
        <v>2.9340783921780601E-3</v>
      </c>
      <c r="AZ52" s="96">
        <v>2.62214118465626E-3</v>
      </c>
      <c r="BA52" s="96">
        <v>2.0649361829168E-2</v>
      </c>
      <c r="BB52" s="96">
        <v>2.62055814060024E-2</v>
      </c>
      <c r="BC52" s="96">
        <v>3.9673085064223998E-3</v>
      </c>
      <c r="BD52" s="96">
        <v>0</v>
      </c>
      <c r="BE52" s="96">
        <v>1.2287609129709001E-4</v>
      </c>
      <c r="BF52" s="96">
        <v>4.0901845977194904E-3</v>
      </c>
      <c r="BG52" s="96">
        <v>9.1772945095103097E-3</v>
      </c>
      <c r="BH52" s="96">
        <v>0</v>
      </c>
      <c r="BI52" s="96">
        <v>5.5019840872949401E-3</v>
      </c>
      <c r="BJ52" s="96">
        <v>1.4679278596805199E-2</v>
      </c>
      <c r="BK52" s="117">
        <v>43.627763153744802</v>
      </c>
    </row>
    <row r="53" spans="2:63">
      <c r="B53" s="95" t="s">
        <v>264</v>
      </c>
      <c r="C53" s="106">
        <v>2020</v>
      </c>
      <c r="D53" s="106" t="s">
        <v>142</v>
      </c>
      <c r="E53" s="106" t="s">
        <v>131</v>
      </c>
      <c r="F53" s="106" t="s">
        <v>131</v>
      </c>
      <c r="G53" s="106" t="s">
        <v>130</v>
      </c>
      <c r="H53" s="106">
        <v>117229.44787269201</v>
      </c>
      <c r="I53" s="96">
        <v>3856516.9831463299</v>
      </c>
      <c r="J53" s="96">
        <v>559576.00000575301</v>
      </c>
      <c r="K53" s="96">
        <v>5.8593189525610601E-2</v>
      </c>
      <c r="L53" s="96">
        <v>0</v>
      </c>
      <c r="M53" s="96">
        <v>0.21360645289354399</v>
      </c>
      <c r="N53" s="96">
        <v>0.27219964241915401</v>
      </c>
      <c r="O53" s="96">
        <v>2.56454098458999E-2</v>
      </c>
      <c r="P53" s="96">
        <v>6.1890600309160299E-2</v>
      </c>
      <c r="Q53" s="96">
        <v>0.21570807300632699</v>
      </c>
      <c r="R53" s="96">
        <v>2.6972506619333699E-2</v>
      </c>
      <c r="S53" s="96">
        <v>0.60241623219987595</v>
      </c>
      <c r="T53" s="96">
        <v>8.5452833669740394E-2</v>
      </c>
      <c r="U53" s="96">
        <v>0</v>
      </c>
      <c r="V53" s="96">
        <v>0.23387155753942199</v>
      </c>
      <c r="W53" s="96">
        <v>0.31932439120916301</v>
      </c>
      <c r="X53" s="96">
        <v>2.56454098458999E-2</v>
      </c>
      <c r="Y53" s="96">
        <v>6.1890600309134798E-2</v>
      </c>
      <c r="Z53" s="96">
        <v>0.21570807300623801</v>
      </c>
      <c r="AA53" s="96">
        <v>2.6972506619333699E-2</v>
      </c>
      <c r="AB53" s="96">
        <v>0.64954098098976998</v>
      </c>
      <c r="AC53" s="96">
        <v>3.3623145451163401</v>
      </c>
      <c r="AD53" s="96">
        <v>0</v>
      </c>
      <c r="AE53" s="96">
        <v>1.85220524225524</v>
      </c>
      <c r="AF53" s="96">
        <v>5.2145197873715903</v>
      </c>
      <c r="AG53" s="96">
        <v>0.31072513168474403</v>
      </c>
      <c r="AH53" s="96">
        <v>0</v>
      </c>
      <c r="AI53" s="96">
        <v>0.18898634903766601</v>
      </c>
      <c r="AJ53" s="96">
        <v>0.49971148072241101</v>
      </c>
      <c r="AK53" s="96">
        <v>1412.57467524871</v>
      </c>
      <c r="AL53" s="96">
        <v>0</v>
      </c>
      <c r="AM53" s="96">
        <v>44.4654113994008</v>
      </c>
      <c r="AN53" s="96">
        <v>1457.04008664811</v>
      </c>
      <c r="AO53" s="96">
        <v>6.9416291026932597E-3</v>
      </c>
      <c r="AP53" s="96">
        <v>0</v>
      </c>
      <c r="AQ53" s="96">
        <v>1.2847257440463801E-3</v>
      </c>
      <c r="AR53" s="96">
        <v>8.2263548467396402E-3</v>
      </c>
      <c r="AS53" s="96">
        <v>3.4008658330353499E-2</v>
      </c>
      <c r="AT53" s="96">
        <v>0.156227274205061</v>
      </c>
      <c r="AU53" s="96">
        <v>0.19846228738215399</v>
      </c>
      <c r="AV53" s="96">
        <v>6.3827166444030701E-3</v>
      </c>
      <c r="AW53" s="96">
        <v>0</v>
      </c>
      <c r="AX53" s="96">
        <v>1.18129294558984E-3</v>
      </c>
      <c r="AY53" s="96">
        <v>7.56400958999292E-3</v>
      </c>
      <c r="AZ53" s="96">
        <v>8.5021645825883903E-3</v>
      </c>
      <c r="BA53" s="96">
        <v>6.6954546087883607E-2</v>
      </c>
      <c r="BB53" s="96">
        <v>8.3020720260464906E-2</v>
      </c>
      <c r="BC53" s="96">
        <v>1.3978571523658801E-2</v>
      </c>
      <c r="BD53" s="96">
        <v>0</v>
      </c>
      <c r="BE53" s="96">
        <v>4.4002129194762799E-4</v>
      </c>
      <c r="BF53" s="96">
        <v>1.44185928156065E-2</v>
      </c>
      <c r="BG53" s="96">
        <v>2.6459469165680798E-2</v>
      </c>
      <c r="BH53" s="96">
        <v>0</v>
      </c>
      <c r="BI53" s="96">
        <v>2.1114251286092602E-2</v>
      </c>
      <c r="BJ53" s="96">
        <v>4.75737204517735E-2</v>
      </c>
      <c r="BK53" s="117">
        <v>153.79524746152001</v>
      </c>
    </row>
    <row r="54" spans="2:63">
      <c r="B54" s="95" t="s">
        <v>264</v>
      </c>
      <c r="C54" s="106">
        <v>2020</v>
      </c>
      <c r="D54" s="106" t="s">
        <v>141</v>
      </c>
      <c r="E54" s="106" t="s">
        <v>131</v>
      </c>
      <c r="F54" s="106" t="s">
        <v>131</v>
      </c>
      <c r="G54" s="106" t="s">
        <v>130</v>
      </c>
      <c r="H54" s="106">
        <v>8222.3251240766494</v>
      </c>
      <c r="I54" s="96">
        <v>292771.56107870297</v>
      </c>
      <c r="J54" s="96">
        <v>122500.393084307</v>
      </c>
      <c r="K54" s="96">
        <v>1.5453553633603701E-2</v>
      </c>
      <c r="L54" s="96">
        <v>4.1020088109823497E-3</v>
      </c>
      <c r="M54" s="96">
        <v>1.6855716095986701E-2</v>
      </c>
      <c r="N54" s="96">
        <v>3.6411278540572703E-2</v>
      </c>
      <c r="O54" s="96">
        <v>3.0592340885556702E-4</v>
      </c>
      <c r="P54" s="96">
        <v>1.3806753094912701E-2</v>
      </c>
      <c r="Q54" s="96">
        <v>9.8845621311398096E-2</v>
      </c>
      <c r="R54" s="96">
        <v>1.83517145464491E-4</v>
      </c>
      <c r="S54" s="96">
        <v>0.14955309350120299</v>
      </c>
      <c r="T54" s="96">
        <v>2.2442271956853901E-2</v>
      </c>
      <c r="U54" s="96">
        <v>5.9847796529207001E-3</v>
      </c>
      <c r="V54" s="96">
        <v>1.8453493015840799E-2</v>
      </c>
      <c r="W54" s="96">
        <v>4.68805446256155E-2</v>
      </c>
      <c r="X54" s="96">
        <v>3.0592340885556702E-4</v>
      </c>
      <c r="Y54" s="96">
        <v>1.3806753094907E-2</v>
      </c>
      <c r="Z54" s="96">
        <v>9.8845621311357407E-2</v>
      </c>
      <c r="AA54" s="96">
        <v>1.83517145464491E-4</v>
      </c>
      <c r="AB54" s="96">
        <v>0.16002235958620001</v>
      </c>
      <c r="AC54" s="96">
        <v>0.28198358564099502</v>
      </c>
      <c r="AD54" s="96">
        <v>3.4021187672931399E-2</v>
      </c>
      <c r="AE54" s="96">
        <v>0.24197649872058499</v>
      </c>
      <c r="AF54" s="96">
        <v>0.55798127203451198</v>
      </c>
      <c r="AG54" s="96">
        <v>6.8691085325068499E-2</v>
      </c>
      <c r="AH54" s="96">
        <v>3.5796010824661002E-4</v>
      </c>
      <c r="AI54" s="96">
        <v>7.1490952122631596E-2</v>
      </c>
      <c r="AJ54" s="96">
        <v>0.14053999755594601</v>
      </c>
      <c r="AK54" s="96">
        <v>327.28186227193902</v>
      </c>
      <c r="AL54" s="96">
        <v>1.1020163707738599</v>
      </c>
      <c r="AM54" s="96">
        <v>2.58727113294082</v>
      </c>
      <c r="AN54" s="96">
        <v>330.97114977565298</v>
      </c>
      <c r="AO54" s="96">
        <v>7.4083331472458102E-4</v>
      </c>
      <c r="AP54" s="96">
        <v>0</v>
      </c>
      <c r="AQ54" s="96">
        <v>5.6355801706761502E-5</v>
      </c>
      <c r="AR54" s="96">
        <v>7.9718911643134299E-4</v>
      </c>
      <c r="AS54" s="96">
        <v>2.5818032263523602E-3</v>
      </c>
      <c r="AT54" s="96">
        <v>2.4669129827796701E-2</v>
      </c>
      <c r="AU54" s="96">
        <v>2.8048122170580399E-2</v>
      </c>
      <c r="AV54" s="96">
        <v>6.8126649156683696E-4</v>
      </c>
      <c r="AW54" s="96">
        <v>0</v>
      </c>
      <c r="AX54" s="96">
        <v>5.1849006390533703E-5</v>
      </c>
      <c r="AY54" s="96">
        <v>7.3311549795737098E-4</v>
      </c>
      <c r="AZ54" s="96">
        <v>6.4545080658809004E-4</v>
      </c>
      <c r="BA54" s="96">
        <v>1.05724842119129E-2</v>
      </c>
      <c r="BB54" s="96">
        <v>1.1951050516458299E-2</v>
      </c>
      <c r="BC54" s="96">
        <v>3.2387193401715499E-3</v>
      </c>
      <c r="BD54" s="96">
        <v>1.09053453449412E-5</v>
      </c>
      <c r="BE54" s="96">
        <v>2.5603145247201401E-5</v>
      </c>
      <c r="BF54" s="96">
        <v>3.27522783076369E-3</v>
      </c>
      <c r="BG54" s="96">
        <v>4.2785148662962602E-3</v>
      </c>
      <c r="BH54" s="96">
        <v>2.96635681396592E-5</v>
      </c>
      <c r="BI54" s="96">
        <v>5.7298779850723002E-3</v>
      </c>
      <c r="BJ54" s="96">
        <v>1.0038056419508201E-2</v>
      </c>
      <c r="BK54" s="117">
        <v>34.935064826849498</v>
      </c>
    </row>
    <row r="55" spans="2:63">
      <c r="B55" s="95" t="s">
        <v>264</v>
      </c>
      <c r="C55" s="106">
        <v>2020</v>
      </c>
      <c r="D55" s="106" t="s">
        <v>140</v>
      </c>
      <c r="E55" s="106" t="s">
        <v>131</v>
      </c>
      <c r="F55" s="106" t="s">
        <v>131</v>
      </c>
      <c r="G55" s="106" t="s">
        <v>130</v>
      </c>
      <c r="H55" s="106">
        <v>1121.8665791144699</v>
      </c>
      <c r="I55" s="96">
        <v>39178.619957013201</v>
      </c>
      <c r="J55" s="96">
        <v>16714.1404476028</v>
      </c>
      <c r="K55" s="96">
        <v>1.7852498292756E-3</v>
      </c>
      <c r="L55" s="96">
        <v>5.5448392989027495E-4</v>
      </c>
      <c r="M55" s="96">
        <v>2.2586500626496802E-3</v>
      </c>
      <c r="N55" s="96">
        <v>4.5983838218155602E-3</v>
      </c>
      <c r="O55" s="96">
        <v>4.15859452531842E-5</v>
      </c>
      <c r="P55" s="96">
        <v>1.9447666073882401E-3</v>
      </c>
      <c r="Q55" s="96">
        <v>1.4644262174048499E-2</v>
      </c>
      <c r="R55" s="96">
        <v>2.4573741394015499E-5</v>
      </c>
      <c r="S55" s="96">
        <v>2.1253572289899499E-2</v>
      </c>
      <c r="T55" s="96">
        <v>2.6050323601529701E-3</v>
      </c>
      <c r="U55" s="96">
        <v>8.0910164889082703E-4</v>
      </c>
      <c r="V55" s="96">
        <v>2.4729375173397198E-3</v>
      </c>
      <c r="W55" s="96">
        <v>5.8870715263835199E-3</v>
      </c>
      <c r="X55" s="96">
        <v>4.15859452531842E-5</v>
      </c>
      <c r="Y55" s="96">
        <v>1.9447666073874399E-3</v>
      </c>
      <c r="Z55" s="96">
        <v>1.4644262174042501E-2</v>
      </c>
      <c r="AA55" s="96">
        <v>2.4573741394015499E-5</v>
      </c>
      <c r="AB55" s="96">
        <v>2.25422599944607E-2</v>
      </c>
      <c r="AC55" s="96">
        <v>3.22168374320159E-2</v>
      </c>
      <c r="AD55" s="96">
        <v>4.6409928769505001E-3</v>
      </c>
      <c r="AE55" s="96">
        <v>3.3690418859765703E-2</v>
      </c>
      <c r="AF55" s="96">
        <v>7.0548249168732105E-2</v>
      </c>
      <c r="AG55" s="96">
        <v>1.0473766981834101E-2</v>
      </c>
      <c r="AH55" s="96">
        <v>4.8394319384799997E-5</v>
      </c>
      <c r="AI55" s="96">
        <v>9.9074460667288797E-3</v>
      </c>
      <c r="AJ55" s="96">
        <v>2.04296073679478E-2</v>
      </c>
      <c r="AK55" s="96">
        <v>50.022625137795501</v>
      </c>
      <c r="AL55" s="96">
        <v>0.17301803965850501</v>
      </c>
      <c r="AM55" s="96">
        <v>0.40144982501466703</v>
      </c>
      <c r="AN55" s="96">
        <v>50.597093002468597</v>
      </c>
      <c r="AO55" s="96">
        <v>9.6631093633926598E-5</v>
      </c>
      <c r="AP55" s="96">
        <v>0</v>
      </c>
      <c r="AQ55" s="96">
        <v>6.98874967210514E-6</v>
      </c>
      <c r="AR55" s="96">
        <v>1.03619843306031E-4</v>
      </c>
      <c r="AS55" s="96">
        <v>3.4549628740018897E-4</v>
      </c>
      <c r="AT55" s="96">
        <v>3.8514198637936E-3</v>
      </c>
      <c r="AU55" s="96">
        <v>4.3005359944998196E-3</v>
      </c>
      <c r="AV55" s="96">
        <v>8.8848723676831893E-5</v>
      </c>
      <c r="AW55" s="96">
        <v>0</v>
      </c>
      <c r="AX55" s="96">
        <v>6.4258973495194897E-6</v>
      </c>
      <c r="AY55" s="96">
        <v>9.5274621026351298E-5</v>
      </c>
      <c r="AZ55" s="96">
        <v>8.6374071850047203E-5</v>
      </c>
      <c r="BA55" s="96">
        <v>1.6506085130544E-3</v>
      </c>
      <c r="BB55" s="96">
        <v>1.8322572059308001E-3</v>
      </c>
      <c r="BC55" s="96">
        <v>4.9501442687745504E-4</v>
      </c>
      <c r="BD55" s="96">
        <v>1.71215376052514E-6</v>
      </c>
      <c r="BE55" s="96">
        <v>3.9726714562115498E-6</v>
      </c>
      <c r="BF55" s="96">
        <v>5.0069925209419205E-4</v>
      </c>
      <c r="BG55" s="96">
        <v>6.6891463949835504E-4</v>
      </c>
      <c r="BH55" s="96">
        <v>3.8611467887119601E-6</v>
      </c>
      <c r="BI55" s="96">
        <v>7.6812468845839405E-4</v>
      </c>
      <c r="BJ55" s="96">
        <v>1.4409004747454599E-3</v>
      </c>
      <c r="BK55" s="117">
        <v>5.3406852086338699</v>
      </c>
    </row>
    <row r="56" spans="2:63">
      <c r="B56" s="95" t="s">
        <v>264</v>
      </c>
      <c r="C56" s="106">
        <v>2020</v>
      </c>
      <c r="D56" s="106" t="s">
        <v>139</v>
      </c>
      <c r="E56" s="106" t="s">
        <v>131</v>
      </c>
      <c r="F56" s="106" t="s">
        <v>131</v>
      </c>
      <c r="G56" s="106" t="s">
        <v>130</v>
      </c>
      <c r="H56" s="106">
        <v>14469.826356944701</v>
      </c>
      <c r="I56" s="96">
        <v>137603.69393998699</v>
      </c>
      <c r="J56" s="96">
        <v>28939.6527138895</v>
      </c>
      <c r="K56" s="96">
        <v>0.34362031706105101</v>
      </c>
      <c r="L56" s="96">
        <v>0</v>
      </c>
      <c r="M56" s="96">
        <v>6.3875267788518597E-2</v>
      </c>
      <c r="N56" s="96">
        <v>0.40749558484956999</v>
      </c>
      <c r="O56" s="96">
        <v>2.07105457595337E-2</v>
      </c>
      <c r="P56" s="96">
        <v>2.01807718004752E-2</v>
      </c>
      <c r="Q56" s="96">
        <v>7.1219830085964594E-2</v>
      </c>
      <c r="R56" s="96">
        <v>1.28906666087924E-2</v>
      </c>
      <c r="S56" s="96">
        <v>0.53249739910433602</v>
      </c>
      <c r="T56" s="96">
        <v>0.42418121849062301</v>
      </c>
      <c r="U56" s="96">
        <v>0</v>
      </c>
      <c r="V56" s="96">
        <v>6.9506673908260999E-2</v>
      </c>
      <c r="W56" s="96">
        <v>0.493687892398884</v>
      </c>
      <c r="X56" s="96">
        <v>2.07105457595337E-2</v>
      </c>
      <c r="Y56" s="96">
        <v>2.0180771800466901E-2</v>
      </c>
      <c r="Z56" s="96">
        <v>7.1219830085935298E-2</v>
      </c>
      <c r="AA56" s="96">
        <v>1.28906666087924E-2</v>
      </c>
      <c r="AB56" s="96">
        <v>0.618689706653612</v>
      </c>
      <c r="AC56" s="96">
        <v>3.0159811598958202</v>
      </c>
      <c r="AD56" s="96">
        <v>0</v>
      </c>
      <c r="AE56" s="96">
        <v>0.29016117966710397</v>
      </c>
      <c r="AF56" s="96">
        <v>3.3061423395629301</v>
      </c>
      <c r="AG56" s="96">
        <v>0.17617365569576099</v>
      </c>
      <c r="AH56" s="96">
        <v>0</v>
      </c>
      <c r="AI56" s="96">
        <v>8.7153654241678702E-3</v>
      </c>
      <c r="AJ56" s="96">
        <v>0.184889021119929</v>
      </c>
      <c r="AK56" s="96">
        <v>32.374617724841499</v>
      </c>
      <c r="AL56" s="96">
        <v>0</v>
      </c>
      <c r="AM56" s="96">
        <v>1.96950554714585</v>
      </c>
      <c r="AN56" s="96">
        <v>34.3441232719873</v>
      </c>
      <c r="AO56" s="96">
        <v>3.0589004271179798E-4</v>
      </c>
      <c r="AP56" s="96">
        <v>0</v>
      </c>
      <c r="AQ56" s="96">
        <v>1.12185864984271E-4</v>
      </c>
      <c r="AR56" s="96">
        <v>4.1807590769606898E-4</v>
      </c>
      <c r="AS56" s="96">
        <v>6.0672843302010302E-4</v>
      </c>
      <c r="AT56" s="96">
        <v>1.7837815930791001E-3</v>
      </c>
      <c r="AU56" s="96">
        <v>2.80858593379527E-3</v>
      </c>
      <c r="AV56" s="96">
        <v>2.8623662688147201E-4</v>
      </c>
      <c r="AW56" s="96">
        <v>0</v>
      </c>
      <c r="AX56" s="96">
        <v>1.05794696383297E-4</v>
      </c>
      <c r="AY56" s="96">
        <v>3.92031323264769E-4</v>
      </c>
      <c r="AZ56" s="96">
        <v>1.51682108255025E-4</v>
      </c>
      <c r="BA56" s="96">
        <v>7.6447782560533004E-4</v>
      </c>
      <c r="BB56" s="96">
        <v>1.30819125712512E-3</v>
      </c>
      <c r="BC56" s="96">
        <v>3.2037308706396697E-4</v>
      </c>
      <c r="BD56" s="96">
        <v>0</v>
      </c>
      <c r="BE56" s="96">
        <v>1.9489853980409099E-5</v>
      </c>
      <c r="BF56" s="96">
        <v>3.3986294104437602E-4</v>
      </c>
      <c r="BG56" s="96">
        <v>1.01544271222326E-2</v>
      </c>
      <c r="BH56" s="96">
        <v>0</v>
      </c>
      <c r="BI56" s="96">
        <v>4.9543832609873998E-4</v>
      </c>
      <c r="BJ56" s="96">
        <v>1.0649865448331399E-2</v>
      </c>
      <c r="BK56" s="117">
        <v>3.6251322018293002</v>
      </c>
    </row>
    <row r="57" spans="2:63">
      <c r="B57" s="95" t="s">
        <v>264</v>
      </c>
      <c r="C57" s="106">
        <v>2020</v>
      </c>
      <c r="D57" s="106" t="s">
        <v>138</v>
      </c>
      <c r="E57" s="106" t="s">
        <v>131</v>
      </c>
      <c r="F57" s="106" t="s">
        <v>131</v>
      </c>
      <c r="G57" s="106" t="s">
        <v>130</v>
      </c>
      <c r="H57" s="106">
        <v>70808.574682497594</v>
      </c>
      <c r="I57" s="96">
        <v>2344496.2140587601</v>
      </c>
      <c r="J57" s="96">
        <v>335322.22581565799</v>
      </c>
      <c r="K57" s="96">
        <v>4.7560050085168802E-2</v>
      </c>
      <c r="L57" s="96">
        <v>0</v>
      </c>
      <c r="M57" s="96">
        <v>0.162452989985163</v>
      </c>
      <c r="N57" s="96">
        <v>0.210013040070332</v>
      </c>
      <c r="O57" s="96">
        <v>1.8318772097880499E-2</v>
      </c>
      <c r="P57" s="96">
        <v>4.2875984792496602E-2</v>
      </c>
      <c r="Q57" s="96">
        <v>0.140314587053776</v>
      </c>
      <c r="R57" s="96">
        <v>1.9573551667469501E-2</v>
      </c>
      <c r="S57" s="96">
        <v>0.43109593568195498</v>
      </c>
      <c r="T57" s="96">
        <v>6.73149171303105E-2</v>
      </c>
      <c r="U57" s="96">
        <v>0</v>
      </c>
      <c r="V57" s="96">
        <v>0.17784762469649101</v>
      </c>
      <c r="W57" s="96">
        <v>0.245162541826801</v>
      </c>
      <c r="X57" s="96">
        <v>1.8318772097880499E-2</v>
      </c>
      <c r="Y57" s="96">
        <v>4.2875984792478901E-2</v>
      </c>
      <c r="Z57" s="96">
        <v>0.14031458705371799</v>
      </c>
      <c r="AA57" s="96">
        <v>1.9573551667469501E-2</v>
      </c>
      <c r="AB57" s="96">
        <v>0.46624543743834901</v>
      </c>
      <c r="AC57" s="96">
        <v>2.3072913810887599</v>
      </c>
      <c r="AD57" s="96">
        <v>0</v>
      </c>
      <c r="AE57" s="96">
        <v>1.28832561893147</v>
      </c>
      <c r="AF57" s="96">
        <v>3.5956170000202299</v>
      </c>
      <c r="AG57" s="96">
        <v>0.22706258561005599</v>
      </c>
      <c r="AH57" s="96">
        <v>0</v>
      </c>
      <c r="AI57" s="96">
        <v>0.136971008889955</v>
      </c>
      <c r="AJ57" s="96">
        <v>0.36403359450001099</v>
      </c>
      <c r="AK57" s="96">
        <v>1033.1467398447501</v>
      </c>
      <c r="AL57" s="96">
        <v>0</v>
      </c>
      <c r="AM57" s="96">
        <v>32.429770403345302</v>
      </c>
      <c r="AN57" s="96">
        <v>1065.57651024809</v>
      </c>
      <c r="AO57" s="96">
        <v>4.3900921219691301E-3</v>
      </c>
      <c r="AP57" s="96">
        <v>0</v>
      </c>
      <c r="AQ57" s="96">
        <v>8.5330693910375501E-4</v>
      </c>
      <c r="AR57" s="96">
        <v>5.2433990610728804E-3</v>
      </c>
      <c r="AS57" s="96">
        <v>2.0674917561410999E-2</v>
      </c>
      <c r="AT57" s="96">
        <v>9.4975402547731902E-2</v>
      </c>
      <c r="AU57" s="96">
        <v>0.12089371917021501</v>
      </c>
      <c r="AV57" s="96">
        <v>4.0380398349596797E-3</v>
      </c>
      <c r="AW57" s="96">
        <v>0</v>
      </c>
      <c r="AX57" s="96">
        <v>7.85089712568315E-4</v>
      </c>
      <c r="AY57" s="96">
        <v>4.8231295475280002E-3</v>
      </c>
      <c r="AZ57" s="96">
        <v>5.1687293903527496E-3</v>
      </c>
      <c r="BA57" s="96">
        <v>4.0703743949027898E-2</v>
      </c>
      <c r="BB57" s="96">
        <v>5.0695602886908699E-2</v>
      </c>
      <c r="BC57" s="96">
        <v>1.0223824517321199E-2</v>
      </c>
      <c r="BD57" s="96">
        <v>0</v>
      </c>
      <c r="BE57" s="96">
        <v>3.20918867527609E-4</v>
      </c>
      <c r="BF57" s="96">
        <v>1.0544743384848799E-2</v>
      </c>
      <c r="BG57" s="96">
        <v>1.8381121740300099E-2</v>
      </c>
      <c r="BH57" s="96">
        <v>0</v>
      </c>
      <c r="BI57" s="96">
        <v>1.3697942845149601E-2</v>
      </c>
      <c r="BJ57" s="96">
        <v>3.2079064585449797E-2</v>
      </c>
      <c r="BK57" s="117">
        <v>112.475013271455</v>
      </c>
    </row>
    <row r="58" spans="2:63">
      <c r="B58" s="95" t="s">
        <v>264</v>
      </c>
      <c r="C58" s="106">
        <v>2020</v>
      </c>
      <c r="D58" s="106" t="s">
        <v>137</v>
      </c>
      <c r="E58" s="106" t="s">
        <v>131</v>
      </c>
      <c r="F58" s="106" t="s">
        <v>131</v>
      </c>
      <c r="G58" s="106" t="s">
        <v>130</v>
      </c>
      <c r="H58" s="106">
        <v>942.61774621754398</v>
      </c>
      <c r="I58" s="96">
        <v>9770.3673573199503</v>
      </c>
      <c r="J58" s="96">
        <v>94.299479331603095</v>
      </c>
      <c r="K58" s="96">
        <v>6.4973762344813096E-4</v>
      </c>
      <c r="L58" s="96">
        <v>0</v>
      </c>
      <c r="M58" s="96">
        <v>1.4544632467704299E-5</v>
      </c>
      <c r="N58" s="96">
        <v>6.6428225591583603E-4</v>
      </c>
      <c r="O58" s="96">
        <v>7.4204303489109206E-5</v>
      </c>
      <c r="P58" s="96">
        <v>7.3929645159095604E-6</v>
      </c>
      <c r="Q58" s="96">
        <v>1.8258789107134099E-4</v>
      </c>
      <c r="R58" s="96">
        <v>3.0556366253529102E-5</v>
      </c>
      <c r="S58" s="96">
        <v>9.5902378124572505E-4</v>
      </c>
      <c r="T58" s="96">
        <v>9.4105070494770603E-4</v>
      </c>
      <c r="U58" s="96">
        <v>0</v>
      </c>
      <c r="V58" s="96">
        <v>1.5922078431648499E-5</v>
      </c>
      <c r="W58" s="96">
        <v>9.5697278337935504E-4</v>
      </c>
      <c r="X58" s="96">
        <v>7.4204303489109206E-5</v>
      </c>
      <c r="Y58" s="96">
        <v>7.3929645159065297E-6</v>
      </c>
      <c r="Z58" s="96">
        <v>1.8258789107126599E-4</v>
      </c>
      <c r="AA58" s="96">
        <v>3.0556366253529102E-5</v>
      </c>
      <c r="AB58" s="96">
        <v>1.2517143087091599E-3</v>
      </c>
      <c r="AC58" s="96">
        <v>1.6940103400914501E-2</v>
      </c>
      <c r="AD58" s="96">
        <v>0</v>
      </c>
      <c r="AE58" s="96">
        <v>3.21522272600947E-4</v>
      </c>
      <c r="AF58" s="96">
        <v>1.7261625673515399E-2</v>
      </c>
      <c r="AG58" s="96">
        <v>3.7606801462076798E-3</v>
      </c>
      <c r="AH58" s="96">
        <v>0</v>
      </c>
      <c r="AI58" s="96">
        <v>3.4830519597554399E-5</v>
      </c>
      <c r="AJ58" s="96">
        <v>3.7955106658052401E-3</v>
      </c>
      <c r="AK58" s="96">
        <v>18.9770538556932</v>
      </c>
      <c r="AL58" s="96">
        <v>0</v>
      </c>
      <c r="AM58" s="96">
        <v>2.70943997185576E-3</v>
      </c>
      <c r="AN58" s="96">
        <v>18.979763295664998</v>
      </c>
      <c r="AO58" s="96">
        <v>1.9087929052610301E-5</v>
      </c>
      <c r="AP58" s="96">
        <v>0</v>
      </c>
      <c r="AQ58" s="96">
        <v>4.4402092336307701E-8</v>
      </c>
      <c r="AR58" s="96">
        <v>1.91323311449466E-5</v>
      </c>
      <c r="AS58" s="96">
        <v>1.29239837398322E-4</v>
      </c>
      <c r="AT58" s="96">
        <v>1.40376003387477E-3</v>
      </c>
      <c r="AU58" s="96">
        <v>1.5521322024180399E-3</v>
      </c>
      <c r="AV58" s="96">
        <v>1.75553724218173E-5</v>
      </c>
      <c r="AW58" s="96">
        <v>0</v>
      </c>
      <c r="AX58" s="96">
        <v>4.0869729238497999E-8</v>
      </c>
      <c r="AY58" s="96">
        <v>1.75962421510557E-5</v>
      </c>
      <c r="AZ58" s="96">
        <v>3.2309959349580603E-5</v>
      </c>
      <c r="BA58" s="96">
        <v>6.0161144308918996E-4</v>
      </c>
      <c r="BB58" s="96">
        <v>6.5151764458982705E-4</v>
      </c>
      <c r="BC58" s="96">
        <v>1.87793331763807E-4</v>
      </c>
      <c r="BD58" s="96">
        <v>0</v>
      </c>
      <c r="BE58" s="96">
        <v>2.6812104945161501E-8</v>
      </c>
      <c r="BF58" s="96">
        <v>1.8782014386875201E-4</v>
      </c>
      <c r="BG58" s="96">
        <v>2.4321228194541E-4</v>
      </c>
      <c r="BH58" s="96">
        <v>0</v>
      </c>
      <c r="BI58" s="96">
        <v>3.7296085980007499E-6</v>
      </c>
      <c r="BJ58" s="96">
        <v>2.4694189054341102E-4</v>
      </c>
      <c r="BK58" s="117">
        <v>2.00337480043734</v>
      </c>
    </row>
    <row r="59" spans="2:63">
      <c r="B59" s="95" t="s">
        <v>264</v>
      </c>
      <c r="C59" s="106">
        <v>2020</v>
      </c>
      <c r="D59" s="106" t="s">
        <v>136</v>
      </c>
      <c r="E59" s="106" t="s">
        <v>131</v>
      </c>
      <c r="F59" s="106" t="s">
        <v>131</v>
      </c>
      <c r="G59" s="106" t="s">
        <v>130</v>
      </c>
      <c r="H59" s="106">
        <v>297.53506814088001</v>
      </c>
      <c r="I59" s="96">
        <v>18269.701602529101</v>
      </c>
      <c r="J59" s="96">
        <v>5953.0816433627397</v>
      </c>
      <c r="K59" s="96">
        <v>1.2626160961715599E-3</v>
      </c>
      <c r="L59" s="96">
        <v>2.4419314838893398E-4</v>
      </c>
      <c r="M59" s="96">
        <v>9.91826020302036E-4</v>
      </c>
      <c r="N59" s="96">
        <v>2.4986352648625298E-3</v>
      </c>
      <c r="O59" s="96">
        <v>1.02071828561101E-5</v>
      </c>
      <c r="P59" s="96">
        <v>1.5352910765308199E-4</v>
      </c>
      <c r="Q59" s="96">
        <v>1.7909477598429E-3</v>
      </c>
      <c r="R59" s="96">
        <v>5.0387689325058501E-6</v>
      </c>
      <c r="S59" s="96">
        <v>4.4583580841471397E-3</v>
      </c>
      <c r="T59" s="96">
        <v>1.84240644364692E-3</v>
      </c>
      <c r="U59" s="96">
        <v>3.56326068905958E-4</v>
      </c>
      <c r="V59" s="96">
        <v>1.0859246489034601E-3</v>
      </c>
      <c r="W59" s="96">
        <v>3.2846571614563499E-3</v>
      </c>
      <c r="X59" s="96">
        <v>1.02071828561101E-5</v>
      </c>
      <c r="Y59" s="96">
        <v>1.53529107653019E-4</v>
      </c>
      <c r="Z59" s="96">
        <v>1.7909477598421601E-3</v>
      </c>
      <c r="AA59" s="96">
        <v>5.0387689325058501E-6</v>
      </c>
      <c r="AB59" s="96">
        <v>5.2443799807401501E-3</v>
      </c>
      <c r="AC59" s="96">
        <v>2.84023862472438E-2</v>
      </c>
      <c r="AD59" s="96">
        <v>1.89053421360564E-3</v>
      </c>
      <c r="AE59" s="96">
        <v>2.1105670339285999E-2</v>
      </c>
      <c r="AF59" s="96">
        <v>5.13985908001355E-2</v>
      </c>
      <c r="AG59" s="96">
        <v>8.4098471019227392E-3</v>
      </c>
      <c r="AH59" s="96">
        <v>2.1300722915118598E-5</v>
      </c>
      <c r="AI59" s="96">
        <v>2.03957211755737E-3</v>
      </c>
      <c r="AJ59" s="96">
        <v>1.04707199423952E-2</v>
      </c>
      <c r="AK59" s="96">
        <v>36.311798019341303</v>
      </c>
      <c r="AL59" s="96">
        <v>0.125273590013709</v>
      </c>
      <c r="AM59" s="96">
        <v>0.17410126099006201</v>
      </c>
      <c r="AN59" s="96">
        <v>36.611172870345101</v>
      </c>
      <c r="AO59" s="96">
        <v>2.0577644634560599E-5</v>
      </c>
      <c r="AP59" s="96">
        <v>0</v>
      </c>
      <c r="AQ59" s="96">
        <v>1.69415514462324E-6</v>
      </c>
      <c r="AR59" s="96">
        <v>2.2271799779183799E-5</v>
      </c>
      <c r="AS59" s="96">
        <v>2.41666784684175E-4</v>
      </c>
      <c r="AT59" s="96">
        <v>2.62490405964461E-3</v>
      </c>
      <c r="AU59" s="96">
        <v>2.8888426441079701E-3</v>
      </c>
      <c r="AV59" s="96">
        <v>1.8920384663991901E-5</v>
      </c>
      <c r="AW59" s="96">
        <v>0</v>
      </c>
      <c r="AX59" s="96">
        <v>1.55771311955291E-6</v>
      </c>
      <c r="AY59" s="96">
        <v>2.04780977835448E-5</v>
      </c>
      <c r="AZ59" s="96">
        <v>6.0416696171043799E-5</v>
      </c>
      <c r="BA59" s="96">
        <v>1.1249588827048299E-3</v>
      </c>
      <c r="BB59" s="96">
        <v>1.2058536766594199E-3</v>
      </c>
      <c r="BC59" s="96">
        <v>3.5933467777669501E-4</v>
      </c>
      <c r="BD59" s="96">
        <v>1.23968372696744E-6</v>
      </c>
      <c r="BE59" s="96">
        <v>1.72287311372072E-6</v>
      </c>
      <c r="BF59" s="96">
        <v>3.6229723461738301E-4</v>
      </c>
      <c r="BG59" s="96">
        <v>4.4046637966185998E-4</v>
      </c>
      <c r="BH59" s="96">
        <v>1.9371800402288301E-6</v>
      </c>
      <c r="BI59" s="96">
        <v>1.7771682628329099E-4</v>
      </c>
      <c r="BJ59" s="96">
        <v>6.2012038598537901E-4</v>
      </c>
      <c r="BK59" s="117">
        <v>3.8644265473878101</v>
      </c>
    </row>
    <row r="60" spans="2:63">
      <c r="B60" s="95" t="s">
        <v>264</v>
      </c>
      <c r="C60" s="106">
        <v>2020</v>
      </c>
      <c r="D60" s="106" t="s">
        <v>135</v>
      </c>
      <c r="E60" s="106" t="s">
        <v>131</v>
      </c>
      <c r="F60" s="106" t="s">
        <v>131</v>
      </c>
      <c r="G60" s="106" t="s">
        <v>130</v>
      </c>
      <c r="H60" s="106">
        <v>58.029887781350602</v>
      </c>
      <c r="I60" s="96">
        <v>3151.8590041150501</v>
      </c>
      <c r="J60" s="96">
        <v>232.11955112540201</v>
      </c>
      <c r="K60" s="96">
        <v>4.9729442554794997E-4</v>
      </c>
      <c r="L60" s="96">
        <v>6.7307513047102101E-4</v>
      </c>
      <c r="M60" s="96">
        <v>1.0529986442509601E-4</v>
      </c>
      <c r="N60" s="96">
        <v>1.2756694204440601E-3</v>
      </c>
      <c r="O60" s="96">
        <v>2.0978863646473199E-6</v>
      </c>
      <c r="P60" s="96">
        <v>2.73451936326038E-5</v>
      </c>
      <c r="Q60" s="96">
        <v>2.8547740489669399E-4</v>
      </c>
      <c r="R60" s="96">
        <v>8.6888735694842897E-7</v>
      </c>
      <c r="S60" s="96">
        <v>1.59145879269496E-3</v>
      </c>
      <c r="T60" s="96">
        <v>7.2565085840212704E-4</v>
      </c>
      <c r="U60" s="96">
        <v>9.8214965039523797E-4</v>
      </c>
      <c r="V60" s="96">
        <v>1.1529009721945401E-4</v>
      </c>
      <c r="W60" s="96">
        <v>1.8230906060168199E-3</v>
      </c>
      <c r="X60" s="96">
        <v>2.0978863646473199E-6</v>
      </c>
      <c r="Y60" s="96">
        <v>2.7345193632592501E-5</v>
      </c>
      <c r="Z60" s="96">
        <v>2.8547740489657701E-4</v>
      </c>
      <c r="AA60" s="96">
        <v>8.6888735694842897E-7</v>
      </c>
      <c r="AB60" s="96">
        <v>2.13887997826758E-3</v>
      </c>
      <c r="AC60" s="96">
        <v>1.11166851033107E-2</v>
      </c>
      <c r="AD60" s="96">
        <v>5.2147616895699698E-3</v>
      </c>
      <c r="AE60" s="96">
        <v>2.9159727984722E-3</v>
      </c>
      <c r="AF60" s="96">
        <v>1.9247419591352899E-2</v>
      </c>
      <c r="AG60" s="96">
        <v>3.0542419414718298E-3</v>
      </c>
      <c r="AH60" s="96">
        <v>5.8757685213751902E-5</v>
      </c>
      <c r="AI60" s="96">
        <v>1.37233926583628E-4</v>
      </c>
      <c r="AJ60" s="96">
        <v>3.2502335532692199E-3</v>
      </c>
      <c r="AK60" s="96">
        <v>2.9963554573687499</v>
      </c>
      <c r="AL60" s="96">
        <v>0.16394966299052899</v>
      </c>
      <c r="AM60" s="96">
        <v>1.35799342997987E-2</v>
      </c>
      <c r="AN60" s="96">
        <v>3.1738850546590802</v>
      </c>
      <c r="AO60" s="96">
        <v>8.0827830726915901E-6</v>
      </c>
      <c r="AP60" s="96">
        <v>0</v>
      </c>
      <c r="AQ60" s="96">
        <v>2.3514819736575E-7</v>
      </c>
      <c r="AR60" s="96">
        <v>8.3179312700573396E-6</v>
      </c>
      <c r="AS60" s="96">
        <v>2.7794638645399201E-5</v>
      </c>
      <c r="AT60" s="96">
        <v>2.58768082383823E-3</v>
      </c>
      <c r="AU60" s="96">
        <v>2.6237933937536899E-3</v>
      </c>
      <c r="AV60" s="96">
        <v>7.4318206775754802E-6</v>
      </c>
      <c r="AW60" s="96">
        <v>0</v>
      </c>
      <c r="AX60" s="96">
        <v>2.1621008751079001E-7</v>
      </c>
      <c r="AY60" s="96">
        <v>7.6480307650862796E-6</v>
      </c>
      <c r="AZ60" s="96">
        <v>6.9486596613498104E-6</v>
      </c>
      <c r="BA60" s="96">
        <v>1.10900606735924E-3</v>
      </c>
      <c r="BB60" s="96">
        <v>1.1236027577856799E-3</v>
      </c>
      <c r="BC60" s="96">
        <v>2.96513662640596E-5</v>
      </c>
      <c r="BD60" s="96">
        <v>1.6224148220619599E-6</v>
      </c>
      <c r="BE60" s="96">
        <v>1.34384458551121E-7</v>
      </c>
      <c r="BF60" s="96">
        <v>3.1408165544672698E-5</v>
      </c>
      <c r="BG60" s="96">
        <v>1.4431764665885299E-4</v>
      </c>
      <c r="BH60" s="96">
        <v>5.41343916882653E-6</v>
      </c>
      <c r="BI60" s="96">
        <v>1.2069484072266999E-5</v>
      </c>
      <c r="BJ60" s="96">
        <v>1.6180056989994701E-4</v>
      </c>
      <c r="BK60" s="117">
        <v>0.33501373220186498</v>
      </c>
    </row>
    <row r="61" spans="2:63">
      <c r="B61" s="95" t="s">
        <v>264</v>
      </c>
      <c r="C61" s="106">
        <v>2020</v>
      </c>
      <c r="D61" s="106" t="s">
        <v>134</v>
      </c>
      <c r="E61" s="106" t="s">
        <v>131</v>
      </c>
      <c r="F61" s="106" t="s">
        <v>131</v>
      </c>
      <c r="G61" s="106" t="s">
        <v>130</v>
      </c>
      <c r="H61" s="106">
        <v>865.17254561721802</v>
      </c>
      <c r="I61" s="96">
        <v>51872.544241632801</v>
      </c>
      <c r="J61" s="96">
        <v>17310.3722927093</v>
      </c>
      <c r="K61" s="96">
        <v>5.5846161340061002E-3</v>
      </c>
      <c r="L61" s="96">
        <v>9.6247412773153602E-4</v>
      </c>
      <c r="M61" s="96">
        <v>4.6235518096419698E-3</v>
      </c>
      <c r="N61" s="96">
        <v>1.11706420713796E-2</v>
      </c>
      <c r="O61" s="96">
        <v>3.0591425307913602E-5</v>
      </c>
      <c r="P61" s="96">
        <v>1.6986084191628001E-3</v>
      </c>
      <c r="Q61" s="96">
        <v>1.0252397878405701E-2</v>
      </c>
      <c r="R61" s="96">
        <v>1.82464041139473E-5</v>
      </c>
      <c r="S61" s="96">
        <v>2.3170486198370002E-2</v>
      </c>
      <c r="T61" s="96">
        <v>8.1490587533182592E-3</v>
      </c>
      <c r="U61" s="96">
        <v>1.4044399878576201E-3</v>
      </c>
      <c r="V61" s="96">
        <v>5.0622072549008999E-3</v>
      </c>
      <c r="W61" s="96">
        <v>1.46157059960767E-2</v>
      </c>
      <c r="X61" s="96">
        <v>3.0591425307913602E-5</v>
      </c>
      <c r="Y61" s="96">
        <v>1.6986084191621001E-3</v>
      </c>
      <c r="Z61" s="96">
        <v>1.0252397878401501E-2</v>
      </c>
      <c r="AA61" s="96">
        <v>1.82464041139473E-5</v>
      </c>
      <c r="AB61" s="96">
        <v>2.6615550123062201E-2</v>
      </c>
      <c r="AC61" s="96">
        <v>0.13044590826546901</v>
      </c>
      <c r="AD61" s="96">
        <v>1.43776487125285E-2</v>
      </c>
      <c r="AE61" s="96">
        <v>0.10393502188526201</v>
      </c>
      <c r="AF61" s="96">
        <v>0.24875857886326</v>
      </c>
      <c r="AG61" s="96">
        <v>3.6058650182626502E-2</v>
      </c>
      <c r="AH61" s="96">
        <v>8.4164305109662595E-5</v>
      </c>
      <c r="AI61" s="96">
        <v>7.6667188306501098E-3</v>
      </c>
      <c r="AJ61" s="96">
        <v>4.3809533318386197E-2</v>
      </c>
      <c r="AK61" s="96">
        <v>101.629940190491</v>
      </c>
      <c r="AL61" s="96">
        <v>0.519231619298133</v>
      </c>
      <c r="AM61" s="96">
        <v>0.77656870612485995</v>
      </c>
      <c r="AN61" s="96">
        <v>102.925740515914</v>
      </c>
      <c r="AO61" s="96">
        <v>8.1663842053705999E-5</v>
      </c>
      <c r="AP61" s="96">
        <v>0</v>
      </c>
      <c r="AQ61" s="96">
        <v>9.8825606929709303E-6</v>
      </c>
      <c r="AR61" s="96">
        <v>9.1546402746676904E-5</v>
      </c>
      <c r="AS61" s="96">
        <v>6.86156306927731E-4</v>
      </c>
      <c r="AT61" s="96">
        <v>7.4528010870800396E-3</v>
      </c>
      <c r="AU61" s="96">
        <v>8.2305037967544507E-3</v>
      </c>
      <c r="AV61" s="96">
        <v>7.5086888331259795E-5</v>
      </c>
      <c r="AW61" s="96">
        <v>0</v>
      </c>
      <c r="AX61" s="96">
        <v>9.0866497646779593E-6</v>
      </c>
      <c r="AY61" s="96">
        <v>8.4173538095937798E-5</v>
      </c>
      <c r="AZ61" s="96">
        <v>1.7153907673193199E-4</v>
      </c>
      <c r="BA61" s="96">
        <v>3.1940576087485899E-3</v>
      </c>
      <c r="BB61" s="96">
        <v>3.4497702235764599E-3</v>
      </c>
      <c r="BC61" s="96">
        <v>1.0057106451011699E-3</v>
      </c>
      <c r="BD61" s="96">
        <v>5.1382177911593998E-6</v>
      </c>
      <c r="BE61" s="96">
        <v>7.6847768771518302E-6</v>
      </c>
      <c r="BF61" s="96">
        <v>1.0185336397694801E-3</v>
      </c>
      <c r="BG61" s="96">
        <v>1.70315301550982E-3</v>
      </c>
      <c r="BH61" s="96">
        <v>6.8985089226867498E-6</v>
      </c>
      <c r="BI61" s="96">
        <v>5.7830549237434105E-4</v>
      </c>
      <c r="BJ61" s="96">
        <v>2.2883570168068502E-3</v>
      </c>
      <c r="BK61" s="117">
        <v>10.864141541376901</v>
      </c>
    </row>
    <row r="62" spans="2:63">
      <c r="B62" s="95" t="s">
        <v>264</v>
      </c>
      <c r="C62" s="106">
        <v>2020</v>
      </c>
      <c r="D62" s="106" t="s">
        <v>133</v>
      </c>
      <c r="E62" s="106" t="s">
        <v>131</v>
      </c>
      <c r="F62" s="106" t="s">
        <v>131</v>
      </c>
      <c r="G62" s="106" t="s">
        <v>130</v>
      </c>
      <c r="H62" s="106">
        <v>2.3268231300749802</v>
      </c>
      <c r="I62" s="96">
        <v>418.83865566364398</v>
      </c>
      <c r="J62" s="96">
        <v>46.555077186540203</v>
      </c>
      <c r="K62" s="96">
        <v>1.5524124100247701E-4</v>
      </c>
      <c r="L62" s="96">
        <v>0</v>
      </c>
      <c r="M62" s="96">
        <v>1.80446348538903E-7</v>
      </c>
      <c r="N62" s="96">
        <v>1.5542168735101599E-4</v>
      </c>
      <c r="O62" s="96">
        <v>3.9806509394266103E-8</v>
      </c>
      <c r="P62" s="96">
        <v>1.885057138204E-6</v>
      </c>
      <c r="Q62" s="96">
        <v>8.5317151945655697E-6</v>
      </c>
      <c r="R62" s="96">
        <v>2.44333952163546E-8</v>
      </c>
      <c r="S62" s="96">
        <v>1.65902699588396E-4</v>
      </c>
      <c r="T62" s="96">
        <v>2.2652765445487001E-4</v>
      </c>
      <c r="U62" s="96">
        <v>0</v>
      </c>
      <c r="V62" s="96">
        <v>1.97566038470486E-7</v>
      </c>
      <c r="W62" s="96">
        <v>2.2672522049334E-4</v>
      </c>
      <c r="X62" s="96">
        <v>3.9806509394266103E-8</v>
      </c>
      <c r="Y62" s="96">
        <v>1.8850571382032201E-6</v>
      </c>
      <c r="Z62" s="96">
        <v>8.5317151945620494E-6</v>
      </c>
      <c r="AA62" s="96">
        <v>2.44333952163546E-8</v>
      </c>
      <c r="AB62" s="96">
        <v>2.37206232730716E-4</v>
      </c>
      <c r="AC62" s="96">
        <v>1.2845637291513501E-2</v>
      </c>
      <c r="AD62" s="96">
        <v>0</v>
      </c>
      <c r="AE62" s="96">
        <v>3.2890561048090898E-4</v>
      </c>
      <c r="AF62" s="96">
        <v>1.31745429019944E-2</v>
      </c>
      <c r="AG62" s="96">
        <v>1.3279149138530201E-3</v>
      </c>
      <c r="AH62" s="96">
        <v>0</v>
      </c>
      <c r="AI62" s="96">
        <v>7.9102505614901403E-7</v>
      </c>
      <c r="AJ62" s="96">
        <v>1.32870593890916E-3</v>
      </c>
      <c r="AK62" s="96">
        <v>0.96866331932035799</v>
      </c>
      <c r="AL62" s="96">
        <v>0</v>
      </c>
      <c r="AM62" s="96">
        <v>2.5267260182399399E-3</v>
      </c>
      <c r="AN62" s="96">
        <v>0.97119004533859798</v>
      </c>
      <c r="AO62" s="96">
        <v>3.8159685156612801E-7</v>
      </c>
      <c r="AP62" s="96">
        <v>0</v>
      </c>
      <c r="AQ62" s="96">
        <v>1.5739121766714999E-8</v>
      </c>
      <c r="AR62" s="96">
        <v>3.9733597333284301E-7</v>
      </c>
      <c r="AS62" s="96">
        <v>9.2338117518079902E-6</v>
      </c>
      <c r="AT62" s="96">
        <v>2.85047768778312E-5</v>
      </c>
      <c r="AU62" s="96">
        <v>3.81359246029721E-5</v>
      </c>
      <c r="AV62" s="96">
        <v>3.50864219225232E-7</v>
      </c>
      <c r="AW62" s="96">
        <v>0</v>
      </c>
      <c r="AX62" s="96">
        <v>1.4471541490201E-8</v>
      </c>
      <c r="AY62" s="96">
        <v>3.6533576071543302E-7</v>
      </c>
      <c r="AZ62" s="96">
        <v>2.3084529379519899E-6</v>
      </c>
      <c r="BA62" s="96">
        <v>1.2216332947641901E-5</v>
      </c>
      <c r="BB62" s="96">
        <v>1.4890121646309401E-5</v>
      </c>
      <c r="BC62" s="96">
        <v>9.5857087973634508E-6</v>
      </c>
      <c r="BD62" s="96">
        <v>0</v>
      </c>
      <c r="BE62" s="96">
        <v>2.50040022559784E-8</v>
      </c>
      <c r="BF62" s="96">
        <v>9.6107127996194298E-6</v>
      </c>
      <c r="BG62" s="96">
        <v>5.8204904390803201E-5</v>
      </c>
      <c r="BH62" s="96">
        <v>0</v>
      </c>
      <c r="BI62" s="96">
        <v>3.8635892121756203E-8</v>
      </c>
      <c r="BJ62" s="96">
        <v>5.8243540282924998E-5</v>
      </c>
      <c r="BK62" s="117">
        <v>0.102512219618214</v>
      </c>
    </row>
    <row r="63" spans="2:63" ht="14.5" thickBot="1">
      <c r="B63" s="113" t="s">
        <v>264</v>
      </c>
      <c r="C63" s="114">
        <v>2020</v>
      </c>
      <c r="D63" s="114" t="s">
        <v>132</v>
      </c>
      <c r="E63" s="114" t="s">
        <v>131</v>
      </c>
      <c r="F63" s="114" t="s">
        <v>131</v>
      </c>
      <c r="G63" s="114" t="s">
        <v>130</v>
      </c>
      <c r="H63" s="114">
        <v>38.223482028024101</v>
      </c>
      <c r="I63" s="129">
        <v>926.02189618697196</v>
      </c>
      <c r="J63" s="129">
        <v>152.89392811209601</v>
      </c>
      <c r="K63" s="129">
        <v>2.0389323980667198E-5</v>
      </c>
      <c r="L63" s="129">
        <v>0</v>
      </c>
      <c r="M63" s="129">
        <v>8.61371499911109E-5</v>
      </c>
      <c r="N63" s="129">
        <v>1.0652647397177799E-4</v>
      </c>
      <c r="O63" s="129">
        <v>3.9056297040879499E-7</v>
      </c>
      <c r="P63" s="129">
        <v>5.9322196335011802E-6</v>
      </c>
      <c r="Q63" s="129">
        <v>3.0007763053602501E-5</v>
      </c>
      <c r="R63" s="129">
        <v>2.7934225239022001E-7</v>
      </c>
      <c r="S63" s="129">
        <v>1.4313636188168001E-4</v>
      </c>
      <c r="T63" s="129">
        <v>2.97520536903418E-5</v>
      </c>
      <c r="U63" s="129">
        <v>0</v>
      </c>
      <c r="V63" s="129">
        <v>9.4309336967342004E-5</v>
      </c>
      <c r="W63" s="129">
        <v>1.24061390657683E-4</v>
      </c>
      <c r="X63" s="129">
        <v>3.9056297040879499E-7</v>
      </c>
      <c r="Y63" s="129">
        <v>5.9322196334987399E-6</v>
      </c>
      <c r="Z63" s="129">
        <v>3.0007763053590101E-5</v>
      </c>
      <c r="AA63" s="129">
        <v>2.7934225239022001E-7</v>
      </c>
      <c r="AB63" s="129">
        <v>1.6067127856757101E-4</v>
      </c>
      <c r="AC63" s="129">
        <v>3.4044484148389197E-4</v>
      </c>
      <c r="AD63" s="129">
        <v>0</v>
      </c>
      <c r="AE63" s="129">
        <v>1.3902159383063399E-3</v>
      </c>
      <c r="AF63" s="129">
        <v>1.7306607797902399E-3</v>
      </c>
      <c r="AG63" s="129">
        <v>2.7672510655565901E-4</v>
      </c>
      <c r="AH63" s="129">
        <v>0</v>
      </c>
      <c r="AI63" s="129">
        <v>1.46249224110096E-4</v>
      </c>
      <c r="AJ63" s="129">
        <v>4.2297433066575498E-4</v>
      </c>
      <c r="AK63" s="129">
        <v>2.07335040771587</v>
      </c>
      <c r="AL63" s="129">
        <v>0</v>
      </c>
      <c r="AM63" s="129">
        <v>1.5583439696864401E-2</v>
      </c>
      <c r="AN63" s="129">
        <v>2.0889338474127399</v>
      </c>
      <c r="AO63" s="129">
        <v>1.19839464134936E-6</v>
      </c>
      <c r="AP63" s="129">
        <v>0</v>
      </c>
      <c r="AQ63" s="129">
        <v>8.3917582440240295E-8</v>
      </c>
      <c r="AR63" s="129">
        <v>1.2823122237896001E-6</v>
      </c>
      <c r="AS63" s="129">
        <v>1.1308636911353701E-5</v>
      </c>
      <c r="AT63" s="129">
        <v>1.2336831990647699E-4</v>
      </c>
      <c r="AU63" s="129">
        <v>1.3595926904161999E-4</v>
      </c>
      <c r="AV63" s="129">
        <v>1.1018796366769299E-6</v>
      </c>
      <c r="AW63" s="129">
        <v>0</v>
      </c>
      <c r="AX63" s="129">
        <v>7.71591194249189E-8</v>
      </c>
      <c r="AY63" s="129">
        <v>1.17903875610185E-6</v>
      </c>
      <c r="AZ63" s="129">
        <v>2.8271592278384201E-6</v>
      </c>
      <c r="BA63" s="129">
        <v>5.2872137102776002E-5</v>
      </c>
      <c r="BB63" s="129">
        <v>5.6878335086716302E-5</v>
      </c>
      <c r="BC63" s="129">
        <v>2.0517483058203999E-5</v>
      </c>
      <c r="BD63" s="129">
        <v>0</v>
      </c>
      <c r="BE63" s="129">
        <v>1.5421076860866801E-7</v>
      </c>
      <c r="BF63" s="129">
        <v>2.06716938268127E-5</v>
      </c>
      <c r="BG63" s="129">
        <v>2.18677300665284E-5</v>
      </c>
      <c r="BH63" s="129">
        <v>0</v>
      </c>
      <c r="BI63" s="129">
        <v>1.1247344029256999E-5</v>
      </c>
      <c r="BJ63" s="129">
        <v>3.3115074095785399E-5</v>
      </c>
      <c r="BK63" s="118">
        <v>0.22049365761285</v>
      </c>
    </row>
    <row r="64" spans="2:63" ht="14.5" thickBot="1"/>
    <row r="65" spans="7:65" ht="14.5" thickBot="1">
      <c r="G65" s="1307" t="s">
        <v>281</v>
      </c>
      <c r="H65" s="1308"/>
      <c r="I65" s="1308"/>
      <c r="J65" s="1308"/>
      <c r="K65" s="1308"/>
      <c r="L65" s="1308"/>
      <c r="M65" s="1308"/>
      <c r="N65" s="1308"/>
      <c r="O65" s="1308"/>
      <c r="P65" s="1308"/>
      <c r="Q65" s="1308"/>
      <c r="R65" s="1308"/>
      <c r="S65" s="1308"/>
      <c r="T65" s="1308"/>
      <c r="U65" s="1308"/>
      <c r="V65" s="1308"/>
      <c r="W65" s="1308"/>
      <c r="X65" s="1308"/>
      <c r="Y65" s="1308"/>
      <c r="Z65" s="1308"/>
      <c r="AA65" s="1308"/>
      <c r="AB65" s="1308"/>
      <c r="AC65" s="1308"/>
      <c r="AD65" s="1308"/>
      <c r="AE65" s="1308"/>
      <c r="AF65" s="1308"/>
      <c r="AG65" s="1308"/>
      <c r="AH65" s="1308"/>
      <c r="AI65" s="1308"/>
      <c r="AJ65" s="1308"/>
      <c r="AK65" s="1308"/>
      <c r="AL65" s="1308"/>
      <c r="AM65" s="1308"/>
      <c r="AN65" s="1308"/>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9"/>
    </row>
    <row r="66" spans="7:65">
      <c r="G66" s="72" t="s">
        <v>129</v>
      </c>
      <c r="H66" s="71"/>
      <c r="I66" s="70" t="s">
        <v>128</v>
      </c>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t="s">
        <v>127</v>
      </c>
      <c r="BH66" s="70" t="s">
        <v>126</v>
      </c>
      <c r="BI66" s="69" t="s">
        <v>235</v>
      </c>
      <c r="BK66" s="70" t="s">
        <v>127</v>
      </c>
      <c r="BL66" s="90" t="s">
        <v>126</v>
      </c>
      <c r="BM66" s="69" t="s">
        <v>235</v>
      </c>
    </row>
    <row r="67" spans="7:65">
      <c r="G67" s="68" t="s">
        <v>125</v>
      </c>
      <c r="H67" s="42"/>
      <c r="I67" s="92">
        <f>SUM(I10:I46)</f>
        <v>938224.54661153106</v>
      </c>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f>SUM(BG13:BG49)*1000</f>
        <v>130.05724928798145</v>
      </c>
      <c r="BH67" s="75">
        <f>I67/BG67</f>
        <v>7213.9350305191492</v>
      </c>
      <c r="BI67" s="73">
        <f>I67/SUM(I67:I68)</f>
        <v>5.1590947501519421E-2</v>
      </c>
      <c r="BK67" s="9">
        <f>SUM(BK10:BK46)*1000</f>
        <v>81459.071628169288</v>
      </c>
      <c r="BL67" s="91">
        <f>I67/BK67</f>
        <v>11.517741705849303</v>
      </c>
      <c r="BM67" s="73">
        <f>I67/$I$70</f>
        <v>5.1590947501519421E-2</v>
      </c>
    </row>
    <row r="68" spans="7:65">
      <c r="G68" s="68" t="s">
        <v>124</v>
      </c>
      <c r="H68" s="42"/>
      <c r="I68" s="9">
        <f>SUM(I47:I63)</f>
        <v>17247612.156308085</v>
      </c>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f>SUM(BG50:BG63)*1000</f>
        <v>121.24339414565297</v>
      </c>
      <c r="BH68" s="75">
        <f>I68/BG68</f>
        <v>142256.09797419611</v>
      </c>
      <c r="BI68" s="73">
        <f>I68/SUM(I67:I68)</f>
        <v>0.94840905249848051</v>
      </c>
      <c r="BK68" s="9">
        <f>SUM(BK47:BK63)*1000</f>
        <v>663160.39543818554</v>
      </c>
      <c r="BL68" s="91">
        <f>I68/BK68</f>
        <v>26.00820597091246</v>
      </c>
      <c r="BM68" s="73">
        <f>I68/$I$70</f>
        <v>0.94840905249848051</v>
      </c>
    </row>
    <row r="69" spans="7:65" ht="14.5" thickBot="1">
      <c r="G69" s="85" t="s">
        <v>234</v>
      </c>
      <c r="H69" s="86"/>
      <c r="I69" s="87">
        <f>SUM(I47:I50)</f>
        <v>248553.39444939385</v>
      </c>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t="s">
        <v>27</v>
      </c>
      <c r="BH69" s="76" t="s">
        <v>27</v>
      </c>
      <c r="BI69" s="74">
        <f>I69/SUM(I67:I68)</f>
        <v>1.3667415940751861E-2</v>
      </c>
      <c r="BK69" s="66" t="s">
        <v>27</v>
      </c>
      <c r="BL69" s="76" t="s">
        <v>27</v>
      </c>
      <c r="BM69" s="74">
        <f>I69/$I$70</f>
        <v>1.3667415940751861E-2</v>
      </c>
    </row>
    <row r="70" spans="7:65" ht="14.5" thickBot="1">
      <c r="G70" s="26" t="s">
        <v>265</v>
      </c>
      <c r="H70" s="67"/>
      <c r="I70" s="88">
        <f>SUM(I67:I68)</f>
        <v>18185836.702919617</v>
      </c>
    </row>
    <row r="73" spans="7:65">
      <c r="BM73" s="89"/>
    </row>
  </sheetData>
  <mergeCells count="1">
    <mergeCell ref="G65:BM65"/>
  </mergeCells>
  <pageMargins left="0.7" right="0.7" top="0.75" bottom="0.75" header="0.3" footer="0.3"/>
  <pageSetup orientation="portrait" r:id="rId1"/>
  <ignoredErrors>
    <ignoredError sqref="I68:BK69 I67:BJ67"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8626667073579"/>
  </sheetPr>
  <dimension ref="A1:BL72"/>
  <sheetViews>
    <sheetView showGridLines="0" workbookViewId="0">
      <pane ySplit="9" topLeftCell="A46" activePane="bottomLeft" state="frozen"/>
      <selection pane="bottomLeft" activeCell="BK68" sqref="BK68"/>
    </sheetView>
  </sheetViews>
  <sheetFormatPr defaultColWidth="9.08203125" defaultRowHeight="14"/>
  <cols>
    <col min="1" max="1" width="20.08203125" style="58" customWidth="1"/>
    <col min="2" max="2" width="14.1640625" style="58" customWidth="1"/>
    <col min="3" max="3" width="22.4140625" style="58" customWidth="1"/>
    <col min="4" max="5" width="0" style="58" hidden="1" customWidth="1"/>
    <col min="6" max="6" width="16.9140625" style="58" customWidth="1"/>
    <col min="7" max="7" width="0" style="58" hidden="1" customWidth="1"/>
    <col min="8" max="8" width="16.58203125" style="58" customWidth="1"/>
    <col min="9" max="61" width="0" style="58" hidden="1" customWidth="1"/>
    <col min="62" max="62" width="17.4140625" style="58" customWidth="1"/>
    <col min="63" max="63" width="9.08203125" style="58"/>
    <col min="64" max="64" width="13.9140625" style="58" customWidth="1"/>
    <col min="65" max="16384" width="9.08203125" style="58"/>
  </cols>
  <sheetData>
    <row r="1" spans="1:62">
      <c r="A1" s="58" t="s">
        <v>253</v>
      </c>
    </row>
    <row r="2" spans="1:62">
      <c r="A2" s="58" t="s">
        <v>231</v>
      </c>
    </row>
    <row r="3" spans="1:62">
      <c r="A3" s="58" t="s">
        <v>254</v>
      </c>
    </row>
    <row r="4" spans="1:62">
      <c r="A4" s="58" t="s">
        <v>233</v>
      </c>
    </row>
    <row r="5" spans="1:62">
      <c r="A5" s="58" t="s">
        <v>230</v>
      </c>
    </row>
    <row r="6" spans="1:62">
      <c r="A6" s="58" t="s">
        <v>229</v>
      </c>
    </row>
    <row r="7" spans="1:62">
      <c r="A7" s="58" t="s">
        <v>228</v>
      </c>
    </row>
    <row r="8" spans="1:62" ht="14.5" thickBot="1"/>
    <row r="9" spans="1:62">
      <c r="A9" s="131" t="s">
        <v>227</v>
      </c>
      <c r="B9" s="132" t="s">
        <v>256</v>
      </c>
      <c r="C9" s="132" t="s">
        <v>257</v>
      </c>
      <c r="D9" s="132" t="s">
        <v>258</v>
      </c>
      <c r="E9" s="132" t="s">
        <v>226</v>
      </c>
      <c r="F9" s="132" t="s">
        <v>225</v>
      </c>
      <c r="G9" s="132" t="s">
        <v>224</v>
      </c>
      <c r="H9" s="132" t="s">
        <v>128</v>
      </c>
      <c r="I9" s="132" t="s">
        <v>223</v>
      </c>
      <c r="J9" s="132" t="s">
        <v>222</v>
      </c>
      <c r="K9" s="132" t="s">
        <v>221</v>
      </c>
      <c r="L9" s="132" t="s">
        <v>220</v>
      </c>
      <c r="M9" s="132" t="s">
        <v>219</v>
      </c>
      <c r="N9" s="132" t="s">
        <v>218</v>
      </c>
      <c r="O9" s="132" t="s">
        <v>217</v>
      </c>
      <c r="P9" s="132" t="s">
        <v>216</v>
      </c>
      <c r="Q9" s="132" t="s">
        <v>215</v>
      </c>
      <c r="R9" s="132" t="s">
        <v>214</v>
      </c>
      <c r="S9" s="132" t="s">
        <v>213</v>
      </c>
      <c r="T9" s="132" t="s">
        <v>212</v>
      </c>
      <c r="U9" s="132" t="s">
        <v>211</v>
      </c>
      <c r="V9" s="132" t="s">
        <v>210</v>
      </c>
      <c r="W9" s="132" t="s">
        <v>209</v>
      </c>
      <c r="X9" s="132" t="s">
        <v>208</v>
      </c>
      <c r="Y9" s="132" t="s">
        <v>207</v>
      </c>
      <c r="Z9" s="132" t="s">
        <v>206</v>
      </c>
      <c r="AA9" s="132" t="s">
        <v>205</v>
      </c>
      <c r="AB9" s="132" t="s">
        <v>204</v>
      </c>
      <c r="AC9" s="132" t="s">
        <v>203</v>
      </c>
      <c r="AD9" s="132" t="s">
        <v>202</v>
      </c>
      <c r="AE9" s="132" t="s">
        <v>201</v>
      </c>
      <c r="AF9" s="132" t="s">
        <v>200</v>
      </c>
      <c r="AG9" s="132" t="s">
        <v>199</v>
      </c>
      <c r="AH9" s="132" t="s">
        <v>198</v>
      </c>
      <c r="AI9" s="132" t="s">
        <v>197</v>
      </c>
      <c r="AJ9" s="132" t="s">
        <v>196</v>
      </c>
      <c r="AK9" s="132" t="s">
        <v>195</v>
      </c>
      <c r="AL9" s="132" t="s">
        <v>194</v>
      </c>
      <c r="AM9" s="132" t="s">
        <v>193</v>
      </c>
      <c r="AN9" s="132" t="s">
        <v>192</v>
      </c>
      <c r="AO9" s="132" t="s">
        <v>191</v>
      </c>
      <c r="AP9" s="132" t="s">
        <v>190</v>
      </c>
      <c r="AQ9" s="132" t="s">
        <v>189</v>
      </c>
      <c r="AR9" s="132" t="s">
        <v>188</v>
      </c>
      <c r="AS9" s="132" t="s">
        <v>187</v>
      </c>
      <c r="AT9" s="132" t="s">
        <v>186</v>
      </c>
      <c r="AU9" s="132" t="s">
        <v>185</v>
      </c>
      <c r="AV9" s="132" t="s">
        <v>184</v>
      </c>
      <c r="AW9" s="132" t="s">
        <v>183</v>
      </c>
      <c r="AX9" s="132" t="s">
        <v>182</v>
      </c>
      <c r="AY9" s="132" t="s">
        <v>181</v>
      </c>
      <c r="AZ9" s="132" t="s">
        <v>180</v>
      </c>
      <c r="BA9" s="132" t="s">
        <v>179</v>
      </c>
      <c r="BB9" s="132" t="s">
        <v>178</v>
      </c>
      <c r="BC9" s="132" t="s">
        <v>177</v>
      </c>
      <c r="BD9" s="132" t="s">
        <v>176</v>
      </c>
      <c r="BE9" s="132" t="s">
        <v>175</v>
      </c>
      <c r="BF9" s="132" t="s">
        <v>259</v>
      </c>
      <c r="BG9" s="132" t="s">
        <v>260</v>
      </c>
      <c r="BH9" s="132" t="s">
        <v>261</v>
      </c>
      <c r="BI9" s="132" t="s">
        <v>262</v>
      </c>
      <c r="BJ9" s="133" t="s">
        <v>263</v>
      </c>
    </row>
    <row r="10" spans="1:62">
      <c r="A10" s="134" t="s">
        <v>264</v>
      </c>
      <c r="B10" s="135">
        <v>2030</v>
      </c>
      <c r="C10" s="135" t="s">
        <v>174</v>
      </c>
      <c r="D10" s="135" t="s">
        <v>131</v>
      </c>
      <c r="E10" s="135" t="s">
        <v>131</v>
      </c>
      <c r="F10" s="135" t="s">
        <v>146</v>
      </c>
      <c r="G10" s="135">
        <v>601.58716694090697</v>
      </c>
      <c r="H10" s="138">
        <v>30599.073647778099</v>
      </c>
      <c r="I10" s="138">
        <v>5053.3322023036199</v>
      </c>
      <c r="J10" s="138">
        <v>3.5840916629385202E-4</v>
      </c>
      <c r="K10" s="138">
        <v>3.2713804567037902E-5</v>
      </c>
      <c r="L10" s="138">
        <v>0</v>
      </c>
      <c r="M10" s="138">
        <v>3.9112297086088999E-4</v>
      </c>
      <c r="N10" s="138">
        <v>0</v>
      </c>
      <c r="O10" s="138">
        <v>0</v>
      </c>
      <c r="P10" s="138">
        <v>0</v>
      </c>
      <c r="Q10" s="138">
        <v>0</v>
      </c>
      <c r="R10" s="138">
        <v>3.9112297086088999E-4</v>
      </c>
      <c r="S10" s="138">
        <v>4.0802155325793301E-4</v>
      </c>
      <c r="T10" s="138">
        <v>3.7242176282611E-5</v>
      </c>
      <c r="U10" s="138">
        <v>0</v>
      </c>
      <c r="V10" s="138">
        <v>4.4526372954054402E-4</v>
      </c>
      <c r="W10" s="138">
        <v>0</v>
      </c>
      <c r="X10" s="138">
        <v>0</v>
      </c>
      <c r="Y10" s="138">
        <v>0</v>
      </c>
      <c r="Z10" s="138">
        <v>0</v>
      </c>
      <c r="AA10" s="138">
        <v>4.4526372954054402E-4</v>
      </c>
      <c r="AB10" s="138">
        <v>4.6216378064891997E-3</v>
      </c>
      <c r="AC10" s="138">
        <v>1.3852610330295E-3</v>
      </c>
      <c r="AD10" s="138">
        <v>0</v>
      </c>
      <c r="AE10" s="138">
        <v>6.0068988395187003E-3</v>
      </c>
      <c r="AF10" s="138">
        <v>6.8143474471532003E-2</v>
      </c>
      <c r="AG10" s="138">
        <v>1.89358344034961E-3</v>
      </c>
      <c r="AH10" s="138">
        <v>1.23294739177388E-2</v>
      </c>
      <c r="AI10" s="138">
        <v>8.2366531829620407E-2</v>
      </c>
      <c r="AJ10" s="138">
        <v>32.8862427498767</v>
      </c>
      <c r="AK10" s="138">
        <v>0.38746719276969699</v>
      </c>
      <c r="AL10" s="138">
        <v>0</v>
      </c>
      <c r="AM10" s="138">
        <v>33.273709942646398</v>
      </c>
      <c r="AN10" s="138">
        <v>1.8577255363074399E-4</v>
      </c>
      <c r="AO10" s="138">
        <v>4.7265226113699602E-7</v>
      </c>
      <c r="AP10" s="138">
        <v>0</v>
      </c>
      <c r="AQ10" s="138">
        <v>1.8624520589188099E-4</v>
      </c>
      <c r="AR10" s="138">
        <v>4.0475645982904998E-4</v>
      </c>
      <c r="AS10" s="138">
        <v>4.3963297478431997E-3</v>
      </c>
      <c r="AT10" s="138">
        <v>4.9873314135641398E-3</v>
      </c>
      <c r="AU10" s="138">
        <v>1.7773611519400099E-4</v>
      </c>
      <c r="AV10" s="138">
        <v>4.52205533542539E-7</v>
      </c>
      <c r="AW10" s="138">
        <v>0</v>
      </c>
      <c r="AX10" s="138">
        <v>1.7818832072754399E-4</v>
      </c>
      <c r="AY10" s="138">
        <v>1.0118911495726199E-4</v>
      </c>
      <c r="AZ10" s="138">
        <v>1.8841413205042299E-3</v>
      </c>
      <c r="BA10" s="138">
        <v>2.1635187561890299E-3</v>
      </c>
      <c r="BB10" s="138">
        <v>3.1069291500249201E-4</v>
      </c>
      <c r="BC10" s="138">
        <v>3.6605979133904302E-6</v>
      </c>
      <c r="BD10" s="138">
        <v>0</v>
      </c>
      <c r="BE10" s="138">
        <v>3.1435351291588302E-4</v>
      </c>
      <c r="BF10" s="138">
        <v>5.1692593923859196E-3</v>
      </c>
      <c r="BG10" s="138">
        <v>6.0904446905041102E-5</v>
      </c>
      <c r="BH10" s="138">
        <v>0</v>
      </c>
      <c r="BI10" s="138">
        <v>5.23016383929096E-3</v>
      </c>
      <c r="BJ10" s="140">
        <v>2.9654538640919799</v>
      </c>
    </row>
    <row r="11" spans="1:62">
      <c r="A11" s="134" t="s">
        <v>264</v>
      </c>
      <c r="B11" s="135">
        <v>2030</v>
      </c>
      <c r="C11" s="135" t="s">
        <v>144</v>
      </c>
      <c r="D11" s="135" t="s">
        <v>131</v>
      </c>
      <c r="E11" s="135" t="s">
        <v>131</v>
      </c>
      <c r="F11" s="135" t="s">
        <v>146</v>
      </c>
      <c r="G11" s="135">
        <v>3763.4111788362502</v>
      </c>
      <c r="H11" s="138">
        <v>97608.431460036896</v>
      </c>
      <c r="I11" s="138">
        <v>17969.6447912478</v>
      </c>
      <c r="J11" s="138">
        <v>5.8139585653633097E-4</v>
      </c>
      <c r="K11" s="138">
        <v>0</v>
      </c>
      <c r="L11" s="138">
        <v>0</v>
      </c>
      <c r="M11" s="138">
        <v>5.8139585653633097E-4</v>
      </c>
      <c r="N11" s="138">
        <v>0</v>
      </c>
      <c r="O11" s="138">
        <v>0</v>
      </c>
      <c r="P11" s="138">
        <v>0</v>
      </c>
      <c r="Q11" s="138">
        <v>0</v>
      </c>
      <c r="R11" s="138">
        <v>5.8139585653633097E-4</v>
      </c>
      <c r="S11" s="138">
        <v>6.6188052884372803E-4</v>
      </c>
      <c r="T11" s="138">
        <v>0</v>
      </c>
      <c r="U11" s="138">
        <v>0</v>
      </c>
      <c r="V11" s="138">
        <v>6.6188052884372803E-4</v>
      </c>
      <c r="W11" s="138">
        <v>0</v>
      </c>
      <c r="X11" s="138">
        <v>0</v>
      </c>
      <c r="Y11" s="138">
        <v>0</v>
      </c>
      <c r="Z11" s="138">
        <v>0</v>
      </c>
      <c r="AA11" s="138">
        <v>6.6188052884372803E-4</v>
      </c>
      <c r="AB11" s="138">
        <v>1.46810291498036E-2</v>
      </c>
      <c r="AC11" s="138">
        <v>0</v>
      </c>
      <c r="AD11" s="138">
        <v>0</v>
      </c>
      <c r="AE11" s="138">
        <v>1.46810291498036E-2</v>
      </c>
      <c r="AF11" s="138">
        <v>1.7410471003308399E-3</v>
      </c>
      <c r="AG11" s="138">
        <v>0</v>
      </c>
      <c r="AH11" s="138">
        <v>0</v>
      </c>
      <c r="AI11" s="138">
        <v>1.7410471003308399E-3</v>
      </c>
      <c r="AJ11" s="138">
        <v>18.0417656222231</v>
      </c>
      <c r="AK11" s="138">
        <v>0</v>
      </c>
      <c r="AL11" s="138">
        <v>0</v>
      </c>
      <c r="AM11" s="138">
        <v>18.0417656222231</v>
      </c>
      <c r="AN11" s="138">
        <v>1.8902071931399601E-4</v>
      </c>
      <c r="AO11" s="138">
        <v>0</v>
      </c>
      <c r="AP11" s="138">
        <v>0</v>
      </c>
      <c r="AQ11" s="138">
        <v>1.8902071931399601E-4</v>
      </c>
      <c r="AR11" s="138">
        <v>8.6075902431989202E-4</v>
      </c>
      <c r="AS11" s="138">
        <v>3.9541117679695002E-3</v>
      </c>
      <c r="AT11" s="138">
        <v>5.0038915116033898E-3</v>
      </c>
      <c r="AU11" s="138">
        <v>1.80843766667615E-4</v>
      </c>
      <c r="AV11" s="138">
        <v>0</v>
      </c>
      <c r="AW11" s="138">
        <v>0</v>
      </c>
      <c r="AX11" s="138">
        <v>1.80843766667615E-4</v>
      </c>
      <c r="AY11" s="138">
        <v>2.1518975607997301E-4</v>
      </c>
      <c r="AZ11" s="138">
        <v>1.6946193291297799E-3</v>
      </c>
      <c r="BA11" s="138">
        <v>2.09065285187737E-3</v>
      </c>
      <c r="BB11" s="138">
        <v>1.70559567389377E-4</v>
      </c>
      <c r="BC11" s="138">
        <v>0</v>
      </c>
      <c r="BD11" s="138">
        <v>0</v>
      </c>
      <c r="BE11" s="138">
        <v>1.70559567389377E-4</v>
      </c>
      <c r="BF11" s="138">
        <v>2.8359143094342002E-3</v>
      </c>
      <c r="BG11" s="138">
        <v>0</v>
      </c>
      <c r="BH11" s="138">
        <v>0</v>
      </c>
      <c r="BI11" s="138">
        <v>2.8359143094342002E-3</v>
      </c>
      <c r="BJ11" s="140">
        <v>1.60793682675254</v>
      </c>
    </row>
    <row r="12" spans="1:62">
      <c r="A12" s="134" t="s">
        <v>264</v>
      </c>
      <c r="B12" s="135">
        <v>2030</v>
      </c>
      <c r="C12" s="135" t="s">
        <v>143</v>
      </c>
      <c r="D12" s="135" t="s">
        <v>131</v>
      </c>
      <c r="E12" s="135" t="s">
        <v>131</v>
      </c>
      <c r="F12" s="135" t="s">
        <v>146</v>
      </c>
      <c r="G12" s="135">
        <v>7.8243797415178902</v>
      </c>
      <c r="H12" s="138">
        <v>191.24310001939699</v>
      </c>
      <c r="I12" s="138">
        <v>36.379978270886497</v>
      </c>
      <c r="J12" s="138">
        <v>4.3685242370309501E-6</v>
      </c>
      <c r="K12" s="138">
        <v>0</v>
      </c>
      <c r="L12" s="138">
        <v>0</v>
      </c>
      <c r="M12" s="138">
        <v>4.3685242370309501E-6</v>
      </c>
      <c r="N12" s="138">
        <v>0</v>
      </c>
      <c r="O12" s="138">
        <v>0</v>
      </c>
      <c r="P12" s="138">
        <v>0</v>
      </c>
      <c r="Q12" s="138">
        <v>0</v>
      </c>
      <c r="R12" s="138">
        <v>4.3685242370309501E-6</v>
      </c>
      <c r="S12" s="138">
        <v>4.97327440463451E-6</v>
      </c>
      <c r="T12" s="138">
        <v>0</v>
      </c>
      <c r="U12" s="138">
        <v>0</v>
      </c>
      <c r="V12" s="138">
        <v>4.97327440463451E-6</v>
      </c>
      <c r="W12" s="138">
        <v>0</v>
      </c>
      <c r="X12" s="138">
        <v>0</v>
      </c>
      <c r="Y12" s="138">
        <v>0</v>
      </c>
      <c r="Z12" s="138">
        <v>0</v>
      </c>
      <c r="AA12" s="138">
        <v>4.97327440463451E-6</v>
      </c>
      <c r="AB12" s="138">
        <v>3.9410127014771798E-5</v>
      </c>
      <c r="AC12" s="138">
        <v>0</v>
      </c>
      <c r="AD12" s="138">
        <v>0</v>
      </c>
      <c r="AE12" s="138">
        <v>3.9410127014771798E-5</v>
      </c>
      <c r="AF12" s="138">
        <v>1.9020223268443E-5</v>
      </c>
      <c r="AG12" s="138">
        <v>0</v>
      </c>
      <c r="AH12" s="138">
        <v>0</v>
      </c>
      <c r="AI12" s="138">
        <v>1.9020223268443E-5</v>
      </c>
      <c r="AJ12" s="138">
        <v>6.7005691429730799E-2</v>
      </c>
      <c r="AK12" s="138">
        <v>0</v>
      </c>
      <c r="AL12" s="138">
        <v>0</v>
      </c>
      <c r="AM12" s="138">
        <v>6.7005691429730799E-2</v>
      </c>
      <c r="AN12" s="138">
        <v>2.0002303614707299E-6</v>
      </c>
      <c r="AO12" s="138">
        <v>0</v>
      </c>
      <c r="AP12" s="138">
        <v>0</v>
      </c>
      <c r="AQ12" s="138">
        <v>2.0002303614707299E-6</v>
      </c>
      <c r="AR12" s="138">
        <v>1.6864754583010101E-6</v>
      </c>
      <c r="AS12" s="138">
        <v>7.7472466365702593E-6</v>
      </c>
      <c r="AT12" s="138">
        <v>1.1433952456342E-5</v>
      </c>
      <c r="AU12" s="138">
        <v>1.9137012814473502E-6</v>
      </c>
      <c r="AV12" s="138">
        <v>0</v>
      </c>
      <c r="AW12" s="138">
        <v>0</v>
      </c>
      <c r="AX12" s="138">
        <v>1.9137012814473502E-6</v>
      </c>
      <c r="AY12" s="138">
        <v>4.2161886457525199E-7</v>
      </c>
      <c r="AZ12" s="138">
        <v>3.3202485585301098E-6</v>
      </c>
      <c r="BA12" s="138">
        <v>5.65556870455272E-6</v>
      </c>
      <c r="BB12" s="138">
        <v>6.3344475159370505E-7</v>
      </c>
      <c r="BC12" s="138">
        <v>0</v>
      </c>
      <c r="BD12" s="138">
        <v>0</v>
      </c>
      <c r="BE12" s="138">
        <v>6.3344475159370505E-7</v>
      </c>
      <c r="BF12" s="138">
        <v>1.0532361583560501E-5</v>
      </c>
      <c r="BG12" s="138">
        <v>0</v>
      </c>
      <c r="BH12" s="138">
        <v>0</v>
      </c>
      <c r="BI12" s="138">
        <v>1.0532361583560501E-5</v>
      </c>
      <c r="BJ12" s="140">
        <v>5.97175027698898E-3</v>
      </c>
    </row>
    <row r="13" spans="1:62">
      <c r="A13" s="134" t="s">
        <v>264</v>
      </c>
      <c r="B13" s="135">
        <v>2030</v>
      </c>
      <c r="C13" s="135" t="s">
        <v>142</v>
      </c>
      <c r="D13" s="135" t="s">
        <v>131</v>
      </c>
      <c r="E13" s="135" t="s">
        <v>131</v>
      </c>
      <c r="F13" s="135" t="s">
        <v>146</v>
      </c>
      <c r="G13" s="135">
        <v>1781.75113580623</v>
      </c>
      <c r="H13" s="138">
        <v>45196.598657695497</v>
      </c>
      <c r="I13" s="138">
        <v>8528.6086350480291</v>
      </c>
      <c r="J13" s="138">
        <v>6.1708477837020201E-4</v>
      </c>
      <c r="K13" s="138">
        <v>0</v>
      </c>
      <c r="L13" s="138">
        <v>0</v>
      </c>
      <c r="M13" s="138">
        <v>6.1708477837020201E-4</v>
      </c>
      <c r="N13" s="138">
        <v>0</v>
      </c>
      <c r="O13" s="138">
        <v>0</v>
      </c>
      <c r="P13" s="138">
        <v>0</v>
      </c>
      <c r="Q13" s="138">
        <v>0</v>
      </c>
      <c r="R13" s="138">
        <v>6.1708477837020201E-4</v>
      </c>
      <c r="S13" s="138">
        <v>7.0250999359084895E-4</v>
      </c>
      <c r="T13" s="138">
        <v>0</v>
      </c>
      <c r="U13" s="138">
        <v>0</v>
      </c>
      <c r="V13" s="138">
        <v>7.0250999359084895E-4</v>
      </c>
      <c r="W13" s="138">
        <v>0</v>
      </c>
      <c r="X13" s="138">
        <v>0</v>
      </c>
      <c r="Y13" s="138">
        <v>0</v>
      </c>
      <c r="Z13" s="138">
        <v>0</v>
      </c>
      <c r="AA13" s="138">
        <v>7.0250999359084895E-4</v>
      </c>
      <c r="AB13" s="138">
        <v>6.1421961155444802E-3</v>
      </c>
      <c r="AC13" s="138">
        <v>0</v>
      </c>
      <c r="AD13" s="138">
        <v>0</v>
      </c>
      <c r="AE13" s="138">
        <v>6.1421961155444802E-3</v>
      </c>
      <c r="AF13" s="138">
        <v>1.4049598652178599E-3</v>
      </c>
      <c r="AG13" s="138">
        <v>0</v>
      </c>
      <c r="AH13" s="138">
        <v>0</v>
      </c>
      <c r="AI13" s="138">
        <v>1.4049598652178599E-3</v>
      </c>
      <c r="AJ13" s="138">
        <v>11.2440885023638</v>
      </c>
      <c r="AK13" s="138">
        <v>0</v>
      </c>
      <c r="AL13" s="138">
        <v>0</v>
      </c>
      <c r="AM13" s="138">
        <v>11.2440885023638</v>
      </c>
      <c r="AN13" s="138">
        <v>1.9904298588277101E-4</v>
      </c>
      <c r="AO13" s="138">
        <v>0</v>
      </c>
      <c r="AP13" s="138">
        <v>0</v>
      </c>
      <c r="AQ13" s="138">
        <v>1.9904298588277101E-4</v>
      </c>
      <c r="AR13" s="138">
        <v>3.9856577532550202E-4</v>
      </c>
      <c r="AS13" s="138">
        <v>1.83091153040152E-3</v>
      </c>
      <c r="AT13" s="138">
        <v>2.4285202916097901E-3</v>
      </c>
      <c r="AU13" s="138">
        <v>1.9043247442104101E-4</v>
      </c>
      <c r="AV13" s="138">
        <v>0</v>
      </c>
      <c r="AW13" s="138">
        <v>0</v>
      </c>
      <c r="AX13" s="138">
        <v>1.9043247442104101E-4</v>
      </c>
      <c r="AY13" s="138">
        <v>9.9641443831375505E-5</v>
      </c>
      <c r="AZ13" s="138">
        <v>7.84676370172082E-4</v>
      </c>
      <c r="BA13" s="138">
        <v>1.07475028842449E-3</v>
      </c>
      <c r="BB13" s="138">
        <v>1.06297072626239E-4</v>
      </c>
      <c r="BC13" s="138">
        <v>0</v>
      </c>
      <c r="BD13" s="138">
        <v>0</v>
      </c>
      <c r="BE13" s="138">
        <v>1.06297072626239E-4</v>
      </c>
      <c r="BF13" s="138">
        <v>1.76741412941983E-3</v>
      </c>
      <c r="BG13" s="138">
        <v>0</v>
      </c>
      <c r="BH13" s="138">
        <v>0</v>
      </c>
      <c r="BI13" s="138">
        <v>1.76741412941983E-3</v>
      </c>
      <c r="BJ13" s="140">
        <v>1.0021072418735799</v>
      </c>
    </row>
    <row r="14" spans="1:62">
      <c r="A14" s="134" t="s">
        <v>264</v>
      </c>
      <c r="B14" s="135">
        <v>2030</v>
      </c>
      <c r="C14" s="135" t="s">
        <v>141</v>
      </c>
      <c r="D14" s="135" t="s">
        <v>131</v>
      </c>
      <c r="E14" s="135" t="s">
        <v>131</v>
      </c>
      <c r="F14" s="135" t="s">
        <v>146</v>
      </c>
      <c r="G14" s="135">
        <v>9659.8333022046208</v>
      </c>
      <c r="H14" s="138">
        <v>280836.17336113501</v>
      </c>
      <c r="I14" s="138">
        <v>121508.550871439</v>
      </c>
      <c r="J14" s="138">
        <v>3.9059415381331897E-2</v>
      </c>
      <c r="K14" s="138">
        <v>1.1687367553141199E-3</v>
      </c>
      <c r="L14" s="138">
        <v>0</v>
      </c>
      <c r="M14" s="138">
        <v>4.0228152136646003E-2</v>
      </c>
      <c r="N14" s="138">
        <v>0</v>
      </c>
      <c r="O14" s="138">
        <v>0</v>
      </c>
      <c r="P14" s="138">
        <v>0</v>
      </c>
      <c r="Q14" s="138">
        <v>0</v>
      </c>
      <c r="R14" s="138">
        <v>4.0228152136646003E-2</v>
      </c>
      <c r="S14" s="138">
        <v>4.4466547565268501E-2</v>
      </c>
      <c r="T14" s="138">
        <v>1.3305290930260901E-3</v>
      </c>
      <c r="U14" s="138">
        <v>0</v>
      </c>
      <c r="V14" s="138">
        <v>4.5797076658294598E-2</v>
      </c>
      <c r="W14" s="138">
        <v>0</v>
      </c>
      <c r="X14" s="138">
        <v>0</v>
      </c>
      <c r="Y14" s="138">
        <v>0</v>
      </c>
      <c r="Z14" s="138">
        <v>0</v>
      </c>
      <c r="AA14" s="138">
        <v>4.5797076658294598E-2</v>
      </c>
      <c r="AB14" s="138">
        <v>0.16570213063516701</v>
      </c>
      <c r="AC14" s="138">
        <v>9.6870933494313301E-3</v>
      </c>
      <c r="AD14" s="138">
        <v>0</v>
      </c>
      <c r="AE14" s="138">
        <v>0.175389223984599</v>
      </c>
      <c r="AF14" s="138">
        <v>9.5730039762510405E-2</v>
      </c>
      <c r="AG14" s="138">
        <v>1.26113859682621E-2</v>
      </c>
      <c r="AH14" s="138">
        <v>0</v>
      </c>
      <c r="AI14" s="138">
        <v>0.108341425730772</v>
      </c>
      <c r="AJ14" s="138">
        <v>145.681588717159</v>
      </c>
      <c r="AK14" s="138">
        <v>1.22834733886079</v>
      </c>
      <c r="AL14" s="138">
        <v>0</v>
      </c>
      <c r="AM14" s="138">
        <v>146.90993605602</v>
      </c>
      <c r="AN14" s="138">
        <v>3.0864921701941701E-3</v>
      </c>
      <c r="AO14" s="138">
        <v>2.9333658779002802E-4</v>
      </c>
      <c r="AP14" s="138">
        <v>0</v>
      </c>
      <c r="AQ14" s="138">
        <v>3.3798287579841998E-3</v>
      </c>
      <c r="AR14" s="138">
        <v>3.7148266849524199E-3</v>
      </c>
      <c r="AS14" s="138">
        <v>2.3663445983146899E-2</v>
      </c>
      <c r="AT14" s="138">
        <v>3.0758101426083501E-2</v>
      </c>
      <c r="AU14" s="138">
        <v>2.95297188516565E-3</v>
      </c>
      <c r="AV14" s="138">
        <v>2.80646976849413E-4</v>
      </c>
      <c r="AW14" s="138">
        <v>0</v>
      </c>
      <c r="AX14" s="138">
        <v>3.2336188620150702E-3</v>
      </c>
      <c r="AY14" s="138">
        <v>9.2870667123810498E-4</v>
      </c>
      <c r="AZ14" s="138">
        <v>1.01414768499201E-2</v>
      </c>
      <c r="BA14" s="138">
        <v>1.4303802383173201E-2</v>
      </c>
      <c r="BB14" s="138">
        <v>1.37721491723569E-3</v>
      </c>
      <c r="BC14" s="138">
        <v>1.1612299766378E-5</v>
      </c>
      <c r="BD14" s="138">
        <v>0</v>
      </c>
      <c r="BE14" s="138">
        <v>1.38882721700207E-3</v>
      </c>
      <c r="BF14" s="138">
        <v>2.2899117010765802E-2</v>
      </c>
      <c r="BG14" s="138">
        <v>1.9307909592506401E-4</v>
      </c>
      <c r="BH14" s="138">
        <v>0</v>
      </c>
      <c r="BI14" s="138">
        <v>2.3092196106690902E-2</v>
      </c>
      <c r="BJ14" s="140">
        <v>13.093058703155201</v>
      </c>
    </row>
    <row r="15" spans="1:62">
      <c r="A15" s="134" t="s">
        <v>264</v>
      </c>
      <c r="B15" s="135">
        <v>2030</v>
      </c>
      <c r="C15" s="135" t="s">
        <v>140</v>
      </c>
      <c r="D15" s="135" t="s">
        <v>131</v>
      </c>
      <c r="E15" s="135" t="s">
        <v>131</v>
      </c>
      <c r="F15" s="135" t="s">
        <v>146</v>
      </c>
      <c r="G15" s="135">
        <v>3881.1650159649898</v>
      </c>
      <c r="H15" s="138">
        <v>109011.19564568999</v>
      </c>
      <c r="I15" s="138">
        <v>48820.173395249498</v>
      </c>
      <c r="J15" s="138">
        <v>1.5084048936503501E-2</v>
      </c>
      <c r="K15" s="138">
        <v>4.6957955336168902E-4</v>
      </c>
      <c r="L15" s="138">
        <v>0</v>
      </c>
      <c r="M15" s="138">
        <v>1.55536284898652E-2</v>
      </c>
      <c r="N15" s="138">
        <v>0</v>
      </c>
      <c r="O15" s="138">
        <v>0</v>
      </c>
      <c r="P15" s="138">
        <v>0</v>
      </c>
      <c r="Q15" s="138">
        <v>0</v>
      </c>
      <c r="R15" s="138">
        <v>1.55536284898652E-2</v>
      </c>
      <c r="S15" s="138">
        <v>1.71721868584967E-2</v>
      </c>
      <c r="T15" s="138">
        <v>5.3458510173234202E-4</v>
      </c>
      <c r="U15" s="138">
        <v>0</v>
      </c>
      <c r="V15" s="138">
        <v>1.7706771960229101E-2</v>
      </c>
      <c r="W15" s="138">
        <v>0</v>
      </c>
      <c r="X15" s="138">
        <v>0</v>
      </c>
      <c r="Y15" s="138">
        <v>0</v>
      </c>
      <c r="Z15" s="138">
        <v>0</v>
      </c>
      <c r="AA15" s="138">
        <v>1.7706771960229101E-2</v>
      </c>
      <c r="AB15" s="138">
        <v>6.4447792031989096E-2</v>
      </c>
      <c r="AC15" s="138">
        <v>3.8921176626950001E-3</v>
      </c>
      <c r="AD15" s="138">
        <v>0</v>
      </c>
      <c r="AE15" s="138">
        <v>6.8339909694684106E-2</v>
      </c>
      <c r="AF15" s="138">
        <v>3.2750840872566502E-2</v>
      </c>
      <c r="AG15" s="138">
        <v>5.0892553143368604E-3</v>
      </c>
      <c r="AH15" s="138">
        <v>0</v>
      </c>
      <c r="AI15" s="138">
        <v>3.7840096186903302E-2</v>
      </c>
      <c r="AJ15" s="138">
        <v>63.583975079575197</v>
      </c>
      <c r="AK15" s="138">
        <v>0.79560301364303998</v>
      </c>
      <c r="AL15" s="138">
        <v>0</v>
      </c>
      <c r="AM15" s="138">
        <v>64.3795780932182</v>
      </c>
      <c r="AN15" s="138">
        <v>1.9352626482676001E-3</v>
      </c>
      <c r="AO15" s="138">
        <v>1.1946901128704001E-4</v>
      </c>
      <c r="AP15" s="138">
        <v>0</v>
      </c>
      <c r="AQ15" s="138">
        <v>2.0547316595546398E-3</v>
      </c>
      <c r="AR15" s="138">
        <v>1.44197128773163E-3</v>
      </c>
      <c r="AS15" s="138">
        <v>1.0716249953325501E-2</v>
      </c>
      <c r="AT15" s="138">
        <v>1.42129529006118E-2</v>
      </c>
      <c r="AU15" s="138">
        <v>1.8515440427590399E-3</v>
      </c>
      <c r="AV15" s="138">
        <v>1.1430083474243E-4</v>
      </c>
      <c r="AW15" s="138">
        <v>0</v>
      </c>
      <c r="AX15" s="138">
        <v>1.9658448775014699E-3</v>
      </c>
      <c r="AY15" s="138">
        <v>3.6049282193290798E-4</v>
      </c>
      <c r="AZ15" s="138">
        <v>4.5926785514252503E-3</v>
      </c>
      <c r="BA15" s="138">
        <v>6.9190162508596404E-3</v>
      </c>
      <c r="BB15" s="138">
        <v>6.0109722682080604E-4</v>
      </c>
      <c r="BC15" s="138">
        <v>7.5213096468504498E-6</v>
      </c>
      <c r="BD15" s="138">
        <v>0</v>
      </c>
      <c r="BE15" s="138">
        <v>6.0861853646765698E-4</v>
      </c>
      <c r="BF15" s="138">
        <v>9.9945154235218398E-3</v>
      </c>
      <c r="BG15" s="138">
        <v>1.2505771432038201E-4</v>
      </c>
      <c r="BH15" s="138">
        <v>0</v>
      </c>
      <c r="BI15" s="138">
        <v>1.0119573137842199E-2</v>
      </c>
      <c r="BJ15" s="140">
        <v>5.7377030981583701</v>
      </c>
    </row>
    <row r="16" spans="1:62">
      <c r="A16" s="134" t="s">
        <v>264</v>
      </c>
      <c r="B16" s="135">
        <v>2030</v>
      </c>
      <c r="C16" s="135" t="s">
        <v>138</v>
      </c>
      <c r="D16" s="135" t="s">
        <v>131</v>
      </c>
      <c r="E16" s="135" t="s">
        <v>131</v>
      </c>
      <c r="F16" s="135" t="s">
        <v>146</v>
      </c>
      <c r="G16" s="135">
        <v>3880.47552732332</v>
      </c>
      <c r="H16" s="138">
        <v>101136.214478826</v>
      </c>
      <c r="I16" s="138">
        <v>18546.090410736699</v>
      </c>
      <c r="J16" s="138">
        <v>6.23640996647847E-4</v>
      </c>
      <c r="K16" s="138">
        <v>0</v>
      </c>
      <c r="L16" s="138">
        <v>0</v>
      </c>
      <c r="M16" s="138">
        <v>6.23640996647847E-4</v>
      </c>
      <c r="N16" s="138">
        <v>0</v>
      </c>
      <c r="O16" s="138">
        <v>0</v>
      </c>
      <c r="P16" s="138">
        <v>0</v>
      </c>
      <c r="Q16" s="138">
        <v>0</v>
      </c>
      <c r="R16" s="138">
        <v>6.23640996647847E-4</v>
      </c>
      <c r="S16" s="138">
        <v>7.0997381221294103E-4</v>
      </c>
      <c r="T16" s="138">
        <v>0</v>
      </c>
      <c r="U16" s="138">
        <v>0</v>
      </c>
      <c r="V16" s="138">
        <v>7.0997381221294103E-4</v>
      </c>
      <c r="W16" s="138">
        <v>0</v>
      </c>
      <c r="X16" s="138">
        <v>0</v>
      </c>
      <c r="Y16" s="138">
        <v>0</v>
      </c>
      <c r="Z16" s="138">
        <v>0</v>
      </c>
      <c r="AA16" s="138">
        <v>7.0997381221294103E-4</v>
      </c>
      <c r="AB16" s="138">
        <v>1.63008918433468E-2</v>
      </c>
      <c r="AC16" s="138">
        <v>0</v>
      </c>
      <c r="AD16" s="138">
        <v>0</v>
      </c>
      <c r="AE16" s="138">
        <v>1.63008918433468E-2</v>
      </c>
      <c r="AF16" s="138">
        <v>1.5204211477531601E-3</v>
      </c>
      <c r="AG16" s="138">
        <v>0</v>
      </c>
      <c r="AH16" s="138">
        <v>0</v>
      </c>
      <c r="AI16" s="138">
        <v>1.5204211477531601E-3</v>
      </c>
      <c r="AJ16" s="138">
        <v>32.565367341641497</v>
      </c>
      <c r="AK16" s="138">
        <v>0</v>
      </c>
      <c r="AL16" s="138">
        <v>0</v>
      </c>
      <c r="AM16" s="138">
        <v>32.565367341641497</v>
      </c>
      <c r="AN16" s="138">
        <v>1.9476478754217199E-4</v>
      </c>
      <c r="AO16" s="138">
        <v>0</v>
      </c>
      <c r="AP16" s="138">
        <v>0</v>
      </c>
      <c r="AQ16" s="138">
        <v>1.9476478754217199E-4</v>
      </c>
      <c r="AR16" s="138">
        <v>8.9186874531268405E-4</v>
      </c>
      <c r="AS16" s="138">
        <v>4.0970220487801402E-3</v>
      </c>
      <c r="AT16" s="138">
        <v>5.1836555816350003E-3</v>
      </c>
      <c r="AU16" s="138">
        <v>1.8633934904688701E-4</v>
      </c>
      <c r="AV16" s="138">
        <v>0</v>
      </c>
      <c r="AW16" s="138">
        <v>0</v>
      </c>
      <c r="AX16" s="138">
        <v>1.8633934904688701E-4</v>
      </c>
      <c r="AY16" s="138">
        <v>2.2296718632817101E-4</v>
      </c>
      <c r="AZ16" s="138">
        <v>1.75586659233434E-3</v>
      </c>
      <c r="BA16" s="138">
        <v>2.1651731277094002E-3</v>
      </c>
      <c r="BB16" s="138">
        <v>3.0785983378616398E-4</v>
      </c>
      <c r="BC16" s="138">
        <v>0</v>
      </c>
      <c r="BD16" s="138">
        <v>0</v>
      </c>
      <c r="BE16" s="138">
        <v>3.0785983378616398E-4</v>
      </c>
      <c r="BF16" s="138">
        <v>5.1188222466644999E-3</v>
      </c>
      <c r="BG16" s="138">
        <v>0</v>
      </c>
      <c r="BH16" s="138">
        <v>0</v>
      </c>
      <c r="BI16" s="138">
        <v>5.1188222466644999E-3</v>
      </c>
      <c r="BJ16" s="140">
        <v>2.9023242249002101</v>
      </c>
    </row>
    <row r="17" spans="1:62">
      <c r="A17" s="134" t="s">
        <v>264</v>
      </c>
      <c r="B17" s="135">
        <v>2030</v>
      </c>
      <c r="C17" s="135" t="s">
        <v>137</v>
      </c>
      <c r="D17" s="135" t="s">
        <v>131</v>
      </c>
      <c r="E17" s="135" t="s">
        <v>131</v>
      </c>
      <c r="F17" s="135" t="s">
        <v>146</v>
      </c>
      <c r="G17" s="135">
        <v>687.31744918800098</v>
      </c>
      <c r="H17" s="138">
        <v>5502.0301626606497</v>
      </c>
      <c r="I17" s="138">
        <v>68.731744918800104</v>
      </c>
      <c r="J17" s="138">
        <v>4.4179301961793998E-4</v>
      </c>
      <c r="K17" s="138">
        <v>0</v>
      </c>
      <c r="L17" s="138">
        <v>0</v>
      </c>
      <c r="M17" s="138">
        <v>4.4179301961793998E-4</v>
      </c>
      <c r="N17" s="138">
        <v>0</v>
      </c>
      <c r="O17" s="138">
        <v>0</v>
      </c>
      <c r="P17" s="138">
        <v>0</v>
      </c>
      <c r="Q17" s="138">
        <v>0</v>
      </c>
      <c r="R17" s="138">
        <v>4.4179301961793998E-4</v>
      </c>
      <c r="S17" s="138">
        <v>5.02951980439368E-4</v>
      </c>
      <c r="T17" s="138">
        <v>0</v>
      </c>
      <c r="U17" s="138">
        <v>0</v>
      </c>
      <c r="V17" s="138">
        <v>5.02951980439368E-4</v>
      </c>
      <c r="W17" s="138">
        <v>0</v>
      </c>
      <c r="X17" s="138">
        <v>0</v>
      </c>
      <c r="Y17" s="138">
        <v>0</v>
      </c>
      <c r="Z17" s="138">
        <v>0</v>
      </c>
      <c r="AA17" s="138">
        <v>5.02951980439368E-4</v>
      </c>
      <c r="AB17" s="138">
        <v>1.33160951689851E-3</v>
      </c>
      <c r="AC17" s="138">
        <v>0</v>
      </c>
      <c r="AD17" s="138">
        <v>0</v>
      </c>
      <c r="AE17" s="138">
        <v>1.33160951689851E-3</v>
      </c>
      <c r="AF17" s="138">
        <v>1.59309576688389E-2</v>
      </c>
      <c r="AG17" s="138">
        <v>0</v>
      </c>
      <c r="AH17" s="138">
        <v>0</v>
      </c>
      <c r="AI17" s="138">
        <v>1.59309576688389E-2</v>
      </c>
      <c r="AJ17" s="138">
        <v>5.3720411552974996</v>
      </c>
      <c r="AK17" s="138">
        <v>0</v>
      </c>
      <c r="AL17" s="138">
        <v>0</v>
      </c>
      <c r="AM17" s="138">
        <v>5.3720411552974996</v>
      </c>
      <c r="AN17" s="138">
        <v>1.7045644214939499E-4</v>
      </c>
      <c r="AO17" s="138">
        <v>0</v>
      </c>
      <c r="AP17" s="138">
        <v>0</v>
      </c>
      <c r="AQ17" s="138">
        <v>1.7045644214939499E-4</v>
      </c>
      <c r="AR17" s="138">
        <v>9.7039201301567704E-5</v>
      </c>
      <c r="AS17" s="138">
        <v>7.9050559360289605E-4</v>
      </c>
      <c r="AT17" s="138">
        <v>1.0580012370538499E-3</v>
      </c>
      <c r="AU17" s="138">
        <v>1.6308257191556801E-4</v>
      </c>
      <c r="AV17" s="138">
        <v>0</v>
      </c>
      <c r="AW17" s="138">
        <v>0</v>
      </c>
      <c r="AX17" s="138">
        <v>1.6308257191556801E-4</v>
      </c>
      <c r="AY17" s="138">
        <v>2.4259800325391899E-5</v>
      </c>
      <c r="AZ17" s="138">
        <v>3.3878811154409798E-4</v>
      </c>
      <c r="BA17" s="138">
        <v>5.26130483785058E-4</v>
      </c>
      <c r="BB17" s="138">
        <v>5.0785107989479002E-5</v>
      </c>
      <c r="BC17" s="138">
        <v>0</v>
      </c>
      <c r="BD17" s="138">
        <v>0</v>
      </c>
      <c r="BE17" s="138">
        <v>5.0785107989479002E-5</v>
      </c>
      <c r="BF17" s="138">
        <v>8.4441005953498304E-4</v>
      </c>
      <c r="BG17" s="138">
        <v>0</v>
      </c>
      <c r="BH17" s="138">
        <v>0</v>
      </c>
      <c r="BI17" s="138">
        <v>8.4441005953498304E-4</v>
      </c>
      <c r="BJ17" s="140">
        <v>0.478772587412027</v>
      </c>
    </row>
    <row r="18" spans="1:62">
      <c r="A18" s="134" t="s">
        <v>264</v>
      </c>
      <c r="B18" s="135">
        <v>2030</v>
      </c>
      <c r="C18" s="135" t="s">
        <v>173</v>
      </c>
      <c r="D18" s="135" t="s">
        <v>131</v>
      </c>
      <c r="E18" s="135" t="s">
        <v>131</v>
      </c>
      <c r="F18" s="135" t="s">
        <v>146</v>
      </c>
      <c r="G18" s="135">
        <v>98.126162504713804</v>
      </c>
      <c r="H18" s="138">
        <v>11480.209834003101</v>
      </c>
      <c r="I18" s="138">
        <v>1432.6419725688199</v>
      </c>
      <c r="J18" s="138">
        <v>2.3646722936478199E-4</v>
      </c>
      <c r="K18" s="138">
        <v>4.3211185537082701E-4</v>
      </c>
      <c r="L18" s="138">
        <v>0</v>
      </c>
      <c r="M18" s="138">
        <v>6.6857908473561E-4</v>
      </c>
      <c r="N18" s="138">
        <v>0</v>
      </c>
      <c r="O18" s="138">
        <v>0</v>
      </c>
      <c r="P18" s="138">
        <v>0</v>
      </c>
      <c r="Q18" s="138">
        <v>0</v>
      </c>
      <c r="R18" s="138">
        <v>6.6857908473561E-4</v>
      </c>
      <c r="S18" s="138">
        <v>2.6919994044157202E-4</v>
      </c>
      <c r="T18" s="138">
        <v>4.9192645442839601E-4</v>
      </c>
      <c r="U18" s="138">
        <v>0</v>
      </c>
      <c r="V18" s="138">
        <v>7.6112639486996896E-4</v>
      </c>
      <c r="W18" s="138">
        <v>0</v>
      </c>
      <c r="X18" s="138">
        <v>0</v>
      </c>
      <c r="Y18" s="138">
        <v>0</v>
      </c>
      <c r="Z18" s="138">
        <v>0</v>
      </c>
      <c r="AA18" s="138">
        <v>7.6112639486996896E-4</v>
      </c>
      <c r="AB18" s="138">
        <v>2.1974470643064399E-3</v>
      </c>
      <c r="AC18" s="138">
        <v>6.3848068615004897E-3</v>
      </c>
      <c r="AD18" s="138">
        <v>0</v>
      </c>
      <c r="AE18" s="138">
        <v>8.5822539258069395E-3</v>
      </c>
      <c r="AF18" s="138">
        <v>2.4581672804480498E-2</v>
      </c>
      <c r="AG18" s="138">
        <v>5.1062385062124504E-3</v>
      </c>
      <c r="AH18" s="138">
        <v>3.5145814159246798E-3</v>
      </c>
      <c r="AI18" s="138">
        <v>3.32024927266176E-2</v>
      </c>
      <c r="AJ18" s="138">
        <v>16.608307539390701</v>
      </c>
      <c r="AK18" s="138">
        <v>1.03898891279456</v>
      </c>
      <c r="AL18" s="138">
        <v>0</v>
      </c>
      <c r="AM18" s="138">
        <v>17.647296452185198</v>
      </c>
      <c r="AN18" s="138">
        <v>3.0818203714996003E-4</v>
      </c>
      <c r="AO18" s="138">
        <v>1.83899205795809E-6</v>
      </c>
      <c r="AP18" s="138">
        <v>0</v>
      </c>
      <c r="AQ18" s="138">
        <v>3.1002102920791799E-4</v>
      </c>
      <c r="AR18" s="138">
        <v>1.5185718182168399E-4</v>
      </c>
      <c r="AS18" s="138">
        <v>1.6494220898865301E-3</v>
      </c>
      <c r="AT18" s="138">
        <v>2.1113003009161301E-3</v>
      </c>
      <c r="AU18" s="138">
        <v>2.9485021864146099E-4</v>
      </c>
      <c r="AV18" s="138">
        <v>1.75943807557157E-6</v>
      </c>
      <c r="AW18" s="138">
        <v>0</v>
      </c>
      <c r="AX18" s="138">
        <v>2.9660965671703202E-4</v>
      </c>
      <c r="AY18" s="138">
        <v>3.7964295455421099E-5</v>
      </c>
      <c r="AZ18" s="138">
        <v>7.0689518137994202E-4</v>
      </c>
      <c r="BA18" s="138">
        <v>1.04146913355239E-3</v>
      </c>
      <c r="BB18" s="138">
        <v>1.5690705447616099E-4</v>
      </c>
      <c r="BC18" s="138">
        <v>9.8158520700156001E-6</v>
      </c>
      <c r="BD18" s="138">
        <v>0</v>
      </c>
      <c r="BE18" s="138">
        <v>1.66722906546176E-4</v>
      </c>
      <c r="BF18" s="138">
        <v>2.6105946608920801E-3</v>
      </c>
      <c r="BG18" s="138">
        <v>1.6331458831879601E-4</v>
      </c>
      <c r="BH18" s="138">
        <v>0</v>
      </c>
      <c r="BI18" s="138">
        <v>2.77390924921088E-3</v>
      </c>
      <c r="BJ18" s="140">
        <v>1.57278053890336</v>
      </c>
    </row>
    <row r="19" spans="1:62">
      <c r="A19" s="134" t="s">
        <v>264</v>
      </c>
      <c r="B19" s="135">
        <v>2030</v>
      </c>
      <c r="C19" s="135" t="s">
        <v>172</v>
      </c>
      <c r="D19" s="135" t="s">
        <v>131</v>
      </c>
      <c r="E19" s="135" t="s">
        <v>131</v>
      </c>
      <c r="F19" s="135" t="s">
        <v>146</v>
      </c>
      <c r="G19" s="135">
        <v>0</v>
      </c>
      <c r="H19" s="138">
        <v>3054.1387195960201</v>
      </c>
      <c r="I19" s="138">
        <v>0</v>
      </c>
      <c r="J19" s="138">
        <v>8.9611410840267195E-5</v>
      </c>
      <c r="K19" s="138">
        <v>0</v>
      </c>
      <c r="L19" s="138">
        <v>0</v>
      </c>
      <c r="M19" s="138">
        <v>8.9611410840267195E-5</v>
      </c>
      <c r="N19" s="138">
        <v>0</v>
      </c>
      <c r="O19" s="138">
        <v>0</v>
      </c>
      <c r="P19" s="138">
        <v>0</v>
      </c>
      <c r="Q19" s="138">
        <v>0</v>
      </c>
      <c r="R19" s="138">
        <v>8.9611410840267195E-5</v>
      </c>
      <c r="S19" s="138">
        <v>1.02015769905569E-4</v>
      </c>
      <c r="T19" s="138">
        <v>0</v>
      </c>
      <c r="U19" s="138">
        <v>0</v>
      </c>
      <c r="V19" s="138">
        <v>1.02015769905569E-4</v>
      </c>
      <c r="W19" s="138">
        <v>0</v>
      </c>
      <c r="X19" s="138">
        <v>0</v>
      </c>
      <c r="Y19" s="138">
        <v>0</v>
      </c>
      <c r="Z19" s="138">
        <v>0</v>
      </c>
      <c r="AA19" s="138">
        <v>1.02015769905569E-4</v>
      </c>
      <c r="AB19" s="138">
        <v>1.4359766697844101E-3</v>
      </c>
      <c r="AC19" s="138">
        <v>0</v>
      </c>
      <c r="AD19" s="138">
        <v>0</v>
      </c>
      <c r="AE19" s="138">
        <v>1.4359766697844101E-3</v>
      </c>
      <c r="AF19" s="138">
        <v>1.6278436859797799E-2</v>
      </c>
      <c r="AG19" s="138">
        <v>0</v>
      </c>
      <c r="AH19" s="138">
        <v>0</v>
      </c>
      <c r="AI19" s="138">
        <v>1.6278436859797799E-2</v>
      </c>
      <c r="AJ19" s="138">
        <v>6.34767171327423</v>
      </c>
      <c r="AK19" s="138">
        <v>0</v>
      </c>
      <c r="AL19" s="138">
        <v>0</v>
      </c>
      <c r="AM19" s="138">
        <v>6.34767171327423</v>
      </c>
      <c r="AN19" s="138">
        <v>1.8087291871230101E-5</v>
      </c>
      <c r="AO19" s="138">
        <v>0</v>
      </c>
      <c r="AP19" s="138">
        <v>0</v>
      </c>
      <c r="AQ19" s="138">
        <v>1.8087291871230101E-5</v>
      </c>
      <c r="AR19" s="138">
        <v>0</v>
      </c>
      <c r="AS19" s="138">
        <v>0</v>
      </c>
      <c r="AT19" s="138">
        <v>1.8087291871230101E-5</v>
      </c>
      <c r="AU19" s="138">
        <v>1.73048436313278E-5</v>
      </c>
      <c r="AV19" s="138">
        <v>0</v>
      </c>
      <c r="AW19" s="138">
        <v>0</v>
      </c>
      <c r="AX19" s="138">
        <v>1.73048436313278E-5</v>
      </c>
      <c r="AY19" s="138">
        <v>0</v>
      </c>
      <c r="AZ19" s="138">
        <v>0</v>
      </c>
      <c r="BA19" s="138">
        <v>1.73048436313278E-5</v>
      </c>
      <c r="BB19" s="138">
        <v>5.99696548820077E-5</v>
      </c>
      <c r="BC19" s="138">
        <v>0</v>
      </c>
      <c r="BD19" s="138">
        <v>0</v>
      </c>
      <c r="BE19" s="138">
        <v>5.99696548820077E-5</v>
      </c>
      <c r="BF19" s="138">
        <v>9.9776559679345695E-4</v>
      </c>
      <c r="BG19" s="138">
        <v>0</v>
      </c>
      <c r="BH19" s="138">
        <v>0</v>
      </c>
      <c r="BI19" s="138">
        <v>9.9776559679345695E-4</v>
      </c>
      <c r="BJ19" s="140">
        <v>0.56572373932941999</v>
      </c>
    </row>
    <row r="20" spans="1:62">
      <c r="A20" s="134" t="s">
        <v>264</v>
      </c>
      <c r="B20" s="135">
        <v>2030</v>
      </c>
      <c r="C20" s="135" t="s">
        <v>135</v>
      </c>
      <c r="D20" s="135" t="s">
        <v>131</v>
      </c>
      <c r="E20" s="135" t="s">
        <v>131</v>
      </c>
      <c r="F20" s="135" t="s">
        <v>146</v>
      </c>
      <c r="G20" s="135">
        <v>162.766185452652</v>
      </c>
      <c r="H20" s="138">
        <v>5100.5802248911295</v>
      </c>
      <c r="I20" s="138">
        <v>1878.2992134508099</v>
      </c>
      <c r="J20" s="138">
        <v>5.0320197754723803E-4</v>
      </c>
      <c r="K20" s="138">
        <v>5.0025493424233299E-5</v>
      </c>
      <c r="L20" s="138">
        <v>0</v>
      </c>
      <c r="M20" s="138">
        <v>5.5322747097147199E-4</v>
      </c>
      <c r="N20" s="138">
        <v>0</v>
      </c>
      <c r="O20" s="138">
        <v>0</v>
      </c>
      <c r="P20" s="138">
        <v>0</v>
      </c>
      <c r="Q20" s="138">
        <v>0</v>
      </c>
      <c r="R20" s="138">
        <v>5.5322747097147199E-4</v>
      </c>
      <c r="S20" s="138">
        <v>5.7285714705452705E-4</v>
      </c>
      <c r="T20" s="138">
        <v>5.6950216258462698E-5</v>
      </c>
      <c r="U20" s="138">
        <v>0</v>
      </c>
      <c r="V20" s="138">
        <v>6.2980736331298996E-4</v>
      </c>
      <c r="W20" s="138">
        <v>0</v>
      </c>
      <c r="X20" s="138">
        <v>0</v>
      </c>
      <c r="Y20" s="138">
        <v>0</v>
      </c>
      <c r="Z20" s="138">
        <v>0</v>
      </c>
      <c r="AA20" s="138">
        <v>6.2980736331298996E-4</v>
      </c>
      <c r="AB20" s="138">
        <v>1.4596076589203999E-3</v>
      </c>
      <c r="AC20" s="138">
        <v>1.3414340898078899E-3</v>
      </c>
      <c r="AD20" s="138">
        <v>0</v>
      </c>
      <c r="AE20" s="138">
        <v>2.8010417487282901E-3</v>
      </c>
      <c r="AF20" s="138">
        <v>2.92974472363456E-2</v>
      </c>
      <c r="AG20" s="138">
        <v>6.2158670774859802E-3</v>
      </c>
      <c r="AH20" s="138">
        <v>2.4327212342250301E-3</v>
      </c>
      <c r="AI20" s="138">
        <v>3.7946035548056603E-2</v>
      </c>
      <c r="AJ20" s="138">
        <v>5.9741069226041796</v>
      </c>
      <c r="AK20" s="138">
        <v>0.63146840353847999</v>
      </c>
      <c r="AL20" s="138">
        <v>0</v>
      </c>
      <c r="AM20" s="138">
        <v>6.6055753261426604</v>
      </c>
      <c r="AN20" s="138">
        <v>1.7915454434512E-4</v>
      </c>
      <c r="AO20" s="138">
        <v>5.0274377356202802E-6</v>
      </c>
      <c r="AP20" s="138">
        <v>0</v>
      </c>
      <c r="AQ20" s="138">
        <v>1.8418198208074E-4</v>
      </c>
      <c r="AR20" s="138">
        <v>6.7469127290097002E-5</v>
      </c>
      <c r="AS20" s="138">
        <v>4.1875838338053502E-3</v>
      </c>
      <c r="AT20" s="138">
        <v>4.4392349431761902E-3</v>
      </c>
      <c r="AU20" s="138">
        <v>1.71404398060573E-4</v>
      </c>
      <c r="AV20" s="138">
        <v>4.8099530046025004E-6</v>
      </c>
      <c r="AW20" s="138">
        <v>0</v>
      </c>
      <c r="AX20" s="138">
        <v>1.7621435106517501E-4</v>
      </c>
      <c r="AY20" s="138">
        <v>1.68672818225242E-5</v>
      </c>
      <c r="AZ20" s="138">
        <v>1.7946787859165799E-3</v>
      </c>
      <c r="BA20" s="138">
        <v>1.9877604188042802E-3</v>
      </c>
      <c r="BB20" s="138">
        <v>5.6440399970210098E-5</v>
      </c>
      <c r="BC20" s="138">
        <v>5.9658003658102904E-6</v>
      </c>
      <c r="BD20" s="138">
        <v>0</v>
      </c>
      <c r="BE20" s="138">
        <v>6.2406200336020395E-5</v>
      </c>
      <c r="BF20" s="138">
        <v>9.3904641389613202E-4</v>
      </c>
      <c r="BG20" s="138">
        <v>9.925803932097E-5</v>
      </c>
      <c r="BH20" s="138">
        <v>0</v>
      </c>
      <c r="BI20" s="138">
        <v>1.0383044532171E-3</v>
      </c>
      <c r="BJ20" s="140">
        <v>0.58870889086984801</v>
      </c>
    </row>
    <row r="21" spans="1:62">
      <c r="A21" s="134" t="s">
        <v>264</v>
      </c>
      <c r="B21" s="135">
        <v>2030</v>
      </c>
      <c r="C21" s="135" t="s">
        <v>171</v>
      </c>
      <c r="D21" s="135" t="s">
        <v>131</v>
      </c>
      <c r="E21" s="135" t="s">
        <v>131</v>
      </c>
      <c r="F21" s="135" t="s">
        <v>146</v>
      </c>
      <c r="G21" s="135">
        <v>3.88388497086981</v>
      </c>
      <c r="H21" s="138">
        <v>21.4051896228389</v>
      </c>
      <c r="I21" s="138">
        <v>17.089093871827199</v>
      </c>
      <c r="J21" s="138">
        <v>2.5765968806281302E-7</v>
      </c>
      <c r="K21" s="138">
        <v>2.1120240024736799E-7</v>
      </c>
      <c r="L21" s="138">
        <v>0</v>
      </c>
      <c r="M21" s="138">
        <v>4.6886208831018101E-7</v>
      </c>
      <c r="N21" s="138">
        <v>0</v>
      </c>
      <c r="O21" s="138">
        <v>0</v>
      </c>
      <c r="P21" s="138">
        <v>0</v>
      </c>
      <c r="Q21" s="138">
        <v>0</v>
      </c>
      <c r="R21" s="138">
        <v>4.6886208831018101E-7</v>
      </c>
      <c r="S21" s="138">
        <v>2.9332594147201301E-7</v>
      </c>
      <c r="T21" s="138">
        <v>2.4043785568274699E-7</v>
      </c>
      <c r="U21" s="138">
        <v>0</v>
      </c>
      <c r="V21" s="138">
        <v>5.3376379715475995E-7</v>
      </c>
      <c r="W21" s="138">
        <v>0</v>
      </c>
      <c r="X21" s="138">
        <v>0</v>
      </c>
      <c r="Y21" s="138">
        <v>0</v>
      </c>
      <c r="Z21" s="138">
        <v>0</v>
      </c>
      <c r="AA21" s="138">
        <v>5.3376379715475995E-7</v>
      </c>
      <c r="AB21" s="138">
        <v>2.0078327796647498E-6</v>
      </c>
      <c r="AC21" s="138">
        <v>8.94333322024457E-6</v>
      </c>
      <c r="AD21" s="138">
        <v>0</v>
      </c>
      <c r="AE21" s="138">
        <v>1.0951165999909299E-5</v>
      </c>
      <c r="AF21" s="138">
        <v>5.26380065048201E-5</v>
      </c>
      <c r="AG21" s="138">
        <v>1.22250949702582E-5</v>
      </c>
      <c r="AH21" s="138">
        <v>7.3323657253475998E-5</v>
      </c>
      <c r="AI21" s="138">
        <v>1.3818675872855399E-4</v>
      </c>
      <c r="AJ21" s="138">
        <v>2.5051780577672302E-2</v>
      </c>
      <c r="AK21" s="138">
        <v>2.7990658870174902E-3</v>
      </c>
      <c r="AL21" s="138">
        <v>0</v>
      </c>
      <c r="AM21" s="138">
        <v>2.7850846464689799E-2</v>
      </c>
      <c r="AN21" s="138">
        <v>5.3273531541676603E-7</v>
      </c>
      <c r="AO21" s="138">
        <v>3.0514730205077502E-9</v>
      </c>
      <c r="AP21" s="138">
        <v>0</v>
      </c>
      <c r="AQ21" s="138">
        <v>5.3578678843727298E-7</v>
      </c>
      <c r="AR21" s="138">
        <v>2.8314219160484001E-7</v>
      </c>
      <c r="AS21" s="138">
        <v>3.0753961044812402E-6</v>
      </c>
      <c r="AT21" s="138">
        <v>3.8943250845233504E-6</v>
      </c>
      <c r="AU21" s="138">
        <v>5.0968942149028599E-7</v>
      </c>
      <c r="AV21" s="138">
        <v>2.9194676483932299E-9</v>
      </c>
      <c r="AW21" s="138">
        <v>0</v>
      </c>
      <c r="AX21" s="138">
        <v>5.1260888913867902E-7</v>
      </c>
      <c r="AY21" s="138">
        <v>7.0785547901210002E-8</v>
      </c>
      <c r="AZ21" s="138">
        <v>1.31802690192053E-6</v>
      </c>
      <c r="BA21" s="138">
        <v>1.90142133896042E-6</v>
      </c>
      <c r="BB21" s="138">
        <v>2.3667680108300101E-7</v>
      </c>
      <c r="BC21" s="138">
        <v>2.6444186596073299E-8</v>
      </c>
      <c r="BD21" s="138">
        <v>0</v>
      </c>
      <c r="BE21" s="138">
        <v>2.6312098767907401E-7</v>
      </c>
      <c r="BF21" s="138">
        <v>3.9377910402248503E-6</v>
      </c>
      <c r="BG21" s="138">
        <v>4.3997417815163499E-7</v>
      </c>
      <c r="BH21" s="138">
        <v>0</v>
      </c>
      <c r="BI21" s="138">
        <v>4.3777652183764897E-6</v>
      </c>
      <c r="BJ21" s="140">
        <v>2.4821518372705399E-3</v>
      </c>
    </row>
    <row r="22" spans="1:62">
      <c r="A22" s="134" t="s">
        <v>264</v>
      </c>
      <c r="B22" s="135">
        <v>2030</v>
      </c>
      <c r="C22" s="135" t="s">
        <v>170</v>
      </c>
      <c r="D22" s="135" t="s">
        <v>131</v>
      </c>
      <c r="E22" s="135" t="s">
        <v>131</v>
      </c>
      <c r="F22" s="135" t="s">
        <v>146</v>
      </c>
      <c r="G22" s="135">
        <v>24.080966479114299</v>
      </c>
      <c r="H22" s="138">
        <v>4237.5553022156901</v>
      </c>
      <c r="I22" s="138">
        <v>351.58211059506903</v>
      </c>
      <c r="J22" s="138">
        <v>3.6365181710560601E-5</v>
      </c>
      <c r="K22" s="138">
        <v>1.30950271668996E-6</v>
      </c>
      <c r="L22" s="138">
        <v>0</v>
      </c>
      <c r="M22" s="138">
        <v>3.7674684427250598E-5</v>
      </c>
      <c r="N22" s="138">
        <v>0</v>
      </c>
      <c r="O22" s="138">
        <v>0</v>
      </c>
      <c r="P22" s="138">
        <v>0</v>
      </c>
      <c r="Q22" s="138">
        <v>0</v>
      </c>
      <c r="R22" s="138">
        <v>3.7674684427250598E-5</v>
      </c>
      <c r="S22" s="138">
        <v>4.13989912129779E-5</v>
      </c>
      <c r="T22" s="138">
        <v>1.49076916191718E-6</v>
      </c>
      <c r="U22" s="138">
        <v>0</v>
      </c>
      <c r="V22" s="138">
        <v>4.2889760374895103E-5</v>
      </c>
      <c r="W22" s="138">
        <v>0</v>
      </c>
      <c r="X22" s="138">
        <v>0</v>
      </c>
      <c r="Y22" s="138">
        <v>0</v>
      </c>
      <c r="Z22" s="138">
        <v>0</v>
      </c>
      <c r="AA22" s="138">
        <v>4.2889760374895103E-5</v>
      </c>
      <c r="AB22" s="138">
        <v>3.0138617610136798E-4</v>
      </c>
      <c r="AC22" s="138">
        <v>5.5450691537866799E-5</v>
      </c>
      <c r="AD22" s="138">
        <v>0</v>
      </c>
      <c r="AE22" s="138">
        <v>3.5683686763923397E-4</v>
      </c>
      <c r="AF22" s="138">
        <v>4.3110214386437697E-3</v>
      </c>
      <c r="AG22" s="138">
        <v>7.5798357672999706E-5</v>
      </c>
      <c r="AH22" s="138">
        <v>5.0930258033402497E-4</v>
      </c>
      <c r="AI22" s="138">
        <v>4.8961223766508001E-3</v>
      </c>
      <c r="AJ22" s="138">
        <v>3.4211497807551501</v>
      </c>
      <c r="AK22" s="138">
        <v>1.39315109948138E-2</v>
      </c>
      <c r="AL22" s="138">
        <v>0</v>
      </c>
      <c r="AM22" s="138">
        <v>3.43508129174996</v>
      </c>
      <c r="AN22" s="138">
        <v>4.6374765408792201E-5</v>
      </c>
      <c r="AO22" s="138">
        <v>1.8919823854183801E-8</v>
      </c>
      <c r="AP22" s="138">
        <v>0</v>
      </c>
      <c r="AQ22" s="138">
        <v>4.6393685232646403E-5</v>
      </c>
      <c r="AR22" s="138">
        <v>5.6053261683599601E-5</v>
      </c>
      <c r="AS22" s="138">
        <v>6.0883184398669802E-4</v>
      </c>
      <c r="AT22" s="138">
        <v>7.1127879090294402E-4</v>
      </c>
      <c r="AU22" s="138">
        <v>4.4368613585273003E-5</v>
      </c>
      <c r="AV22" s="138">
        <v>1.8101360649224099E-8</v>
      </c>
      <c r="AW22" s="138">
        <v>0</v>
      </c>
      <c r="AX22" s="138">
        <v>4.43867149459223E-5</v>
      </c>
      <c r="AY22" s="138">
        <v>1.40133154208999E-5</v>
      </c>
      <c r="AZ22" s="138">
        <v>2.6092793313715602E-4</v>
      </c>
      <c r="BA22" s="138">
        <v>3.1932796350397799E-4</v>
      </c>
      <c r="BB22" s="138">
        <v>3.2321326766553097E-5</v>
      </c>
      <c r="BC22" s="138">
        <v>1.31618008000753E-7</v>
      </c>
      <c r="BD22" s="138">
        <v>0</v>
      </c>
      <c r="BE22" s="138">
        <v>3.2452944774553899E-5</v>
      </c>
      <c r="BF22" s="138">
        <v>5.3775710321890904E-4</v>
      </c>
      <c r="BG22" s="138">
        <v>2.1898395206712702E-6</v>
      </c>
      <c r="BH22" s="138">
        <v>0</v>
      </c>
      <c r="BI22" s="138">
        <v>5.3994694273958098E-4</v>
      </c>
      <c r="BJ22" s="140">
        <v>0.30614485453075402</v>
      </c>
    </row>
    <row r="23" spans="1:62">
      <c r="A23" s="134" t="s">
        <v>264</v>
      </c>
      <c r="B23" s="135">
        <v>2030</v>
      </c>
      <c r="C23" s="135" t="s">
        <v>169</v>
      </c>
      <c r="D23" s="135" t="s">
        <v>131</v>
      </c>
      <c r="E23" s="135" t="s">
        <v>131</v>
      </c>
      <c r="F23" s="135" t="s">
        <v>146</v>
      </c>
      <c r="G23" s="135">
        <v>17.7590965236617</v>
      </c>
      <c r="H23" s="138">
        <v>823.24320135564403</v>
      </c>
      <c r="I23" s="138">
        <v>259.28280924546101</v>
      </c>
      <c r="J23" s="138">
        <v>7.1416895261098001E-6</v>
      </c>
      <c r="K23" s="138">
        <v>9.657247421470501E-7</v>
      </c>
      <c r="L23" s="138">
        <v>0</v>
      </c>
      <c r="M23" s="138">
        <v>8.1074142682568502E-6</v>
      </c>
      <c r="N23" s="138">
        <v>0</v>
      </c>
      <c r="O23" s="138">
        <v>0</v>
      </c>
      <c r="P23" s="138">
        <v>0</v>
      </c>
      <c r="Q23" s="138">
        <v>0</v>
      </c>
      <c r="R23" s="138">
        <v>8.1074142682568502E-6</v>
      </c>
      <c r="S23" s="138">
        <v>8.1302698908658393E-6</v>
      </c>
      <c r="T23" s="138">
        <v>1.09940410672252E-6</v>
      </c>
      <c r="U23" s="138">
        <v>0</v>
      </c>
      <c r="V23" s="138">
        <v>9.2296739975883596E-6</v>
      </c>
      <c r="W23" s="138">
        <v>0</v>
      </c>
      <c r="X23" s="138">
        <v>0</v>
      </c>
      <c r="Y23" s="138">
        <v>0</v>
      </c>
      <c r="Z23" s="138">
        <v>0</v>
      </c>
      <c r="AA23" s="138">
        <v>9.2296739975883596E-6</v>
      </c>
      <c r="AB23" s="138">
        <v>5.9188672125472998E-5</v>
      </c>
      <c r="AC23" s="138">
        <v>4.0893465973587803E-5</v>
      </c>
      <c r="AD23" s="138">
        <v>0</v>
      </c>
      <c r="AE23" s="138">
        <v>1.0008213809906E-4</v>
      </c>
      <c r="AF23" s="138">
        <v>8.5190083765374004E-4</v>
      </c>
      <c r="AG23" s="138">
        <v>5.58993490322465E-5</v>
      </c>
      <c r="AH23" s="138">
        <v>3.7582233717669102E-4</v>
      </c>
      <c r="AI23" s="138">
        <v>1.2836225238626699E-3</v>
      </c>
      <c r="AJ23" s="138">
        <v>0.73013426966654005</v>
      </c>
      <c r="AK23" s="138">
        <v>1.02222684851328E-2</v>
      </c>
      <c r="AL23" s="138">
        <v>0</v>
      </c>
      <c r="AM23" s="138">
        <v>0.74035653815167302</v>
      </c>
      <c r="AN23" s="138">
        <v>9.2644218742822408E-6</v>
      </c>
      <c r="AO23" s="138">
        <v>1.39528859162918E-8</v>
      </c>
      <c r="AP23" s="138">
        <v>0</v>
      </c>
      <c r="AQ23" s="138">
        <v>9.2783747601985292E-6</v>
      </c>
      <c r="AR23" s="138">
        <v>1.0889643509951099E-5</v>
      </c>
      <c r="AS23" s="138">
        <v>1.18279677923919E-4</v>
      </c>
      <c r="AT23" s="138">
        <v>1.3844769619406901E-4</v>
      </c>
      <c r="AU23" s="138">
        <v>8.8636470849521204E-6</v>
      </c>
      <c r="AV23" s="138">
        <v>1.33492902478807E-8</v>
      </c>
      <c r="AW23" s="138">
        <v>0</v>
      </c>
      <c r="AX23" s="138">
        <v>8.8769963752000005E-6</v>
      </c>
      <c r="AY23" s="138">
        <v>2.7224108774877901E-6</v>
      </c>
      <c r="AZ23" s="138">
        <v>5.0691290538822601E-5</v>
      </c>
      <c r="BA23" s="138">
        <v>6.2290697791510407E-5</v>
      </c>
      <c r="BB23" s="138">
        <v>6.8979465459538796E-6</v>
      </c>
      <c r="BC23" s="138">
        <v>9.6574923980817197E-8</v>
      </c>
      <c r="BD23" s="138">
        <v>0</v>
      </c>
      <c r="BE23" s="138">
        <v>6.9945214699347004E-6</v>
      </c>
      <c r="BF23" s="138">
        <v>1.14766939473216E-4</v>
      </c>
      <c r="BG23" s="138">
        <v>1.6067982523926801E-6</v>
      </c>
      <c r="BH23" s="138">
        <v>0</v>
      </c>
      <c r="BI23" s="138">
        <v>1.16373737725608E-4</v>
      </c>
      <c r="BJ23" s="140">
        <v>6.5982818286628997E-2</v>
      </c>
    </row>
    <row r="24" spans="1:62">
      <c r="A24" s="134" t="s">
        <v>264</v>
      </c>
      <c r="B24" s="135">
        <v>2030</v>
      </c>
      <c r="C24" s="135" t="s">
        <v>168</v>
      </c>
      <c r="D24" s="135" t="s">
        <v>131</v>
      </c>
      <c r="E24" s="135" t="s">
        <v>131</v>
      </c>
      <c r="F24" s="135" t="s">
        <v>146</v>
      </c>
      <c r="G24" s="135">
        <v>33.0514520595584</v>
      </c>
      <c r="H24" s="138">
        <v>2009.88641916866</v>
      </c>
      <c r="I24" s="138">
        <v>149.42432972376201</v>
      </c>
      <c r="J24" s="138">
        <v>4.47224319922678E-5</v>
      </c>
      <c r="K24" s="138">
        <v>1.7989181532838301E-6</v>
      </c>
      <c r="L24" s="138">
        <v>0</v>
      </c>
      <c r="M24" s="138">
        <v>4.6521350145551697E-5</v>
      </c>
      <c r="N24" s="138">
        <v>0</v>
      </c>
      <c r="O24" s="138">
        <v>0</v>
      </c>
      <c r="P24" s="138">
        <v>0</v>
      </c>
      <c r="Q24" s="138">
        <v>0</v>
      </c>
      <c r="R24" s="138">
        <v>4.6521350145551697E-5</v>
      </c>
      <c r="S24" s="138">
        <v>5.0913084494040303E-5</v>
      </c>
      <c r="T24" s="138">
        <v>2.0479313815455698E-6</v>
      </c>
      <c r="U24" s="138">
        <v>0</v>
      </c>
      <c r="V24" s="138">
        <v>5.2961015875585802E-5</v>
      </c>
      <c r="W24" s="138">
        <v>0</v>
      </c>
      <c r="X24" s="138">
        <v>0</v>
      </c>
      <c r="Y24" s="138">
        <v>0</v>
      </c>
      <c r="Z24" s="138">
        <v>0</v>
      </c>
      <c r="AA24" s="138">
        <v>5.2961015875585802E-5</v>
      </c>
      <c r="AB24" s="138">
        <v>4.63667195679107E-4</v>
      </c>
      <c r="AC24" s="138">
        <v>7.5743665201250904E-5</v>
      </c>
      <c r="AD24" s="138">
        <v>0</v>
      </c>
      <c r="AE24" s="138">
        <v>5.3941086088035804E-4</v>
      </c>
      <c r="AF24" s="138">
        <v>5.5131992678400504E-3</v>
      </c>
      <c r="AG24" s="138">
        <v>1.0606135703611E-4</v>
      </c>
      <c r="AH24" s="138">
        <v>4.34563143744537E-4</v>
      </c>
      <c r="AI24" s="138">
        <v>6.0538237686206999E-3</v>
      </c>
      <c r="AJ24" s="138">
        <v>2.4832475472368301</v>
      </c>
      <c r="AK24" s="138">
        <v>2.1349553850054999E-2</v>
      </c>
      <c r="AL24" s="138">
        <v>0</v>
      </c>
      <c r="AM24" s="138">
        <v>2.5045971010868802</v>
      </c>
      <c r="AN24" s="138">
        <v>2.6132062018289199E-5</v>
      </c>
      <c r="AO24" s="138">
        <v>2.9979724532002898E-8</v>
      </c>
      <c r="AP24" s="138">
        <v>0</v>
      </c>
      <c r="AQ24" s="138">
        <v>2.61620417428212E-5</v>
      </c>
      <c r="AR24" s="138">
        <v>2.65862464022752E-5</v>
      </c>
      <c r="AS24" s="138">
        <v>2.8877094633938E-4</v>
      </c>
      <c r="AT24" s="138">
        <v>3.4151923448447598E-4</v>
      </c>
      <c r="AU24" s="138">
        <v>2.50016005828904E-5</v>
      </c>
      <c r="AV24" s="138">
        <v>2.8682814919451399E-8</v>
      </c>
      <c r="AW24" s="138">
        <v>0</v>
      </c>
      <c r="AX24" s="138">
        <v>2.50302833978098E-5</v>
      </c>
      <c r="AY24" s="138">
        <v>6.6465616005688204E-6</v>
      </c>
      <c r="AZ24" s="138">
        <v>1.2375897700259099E-4</v>
      </c>
      <c r="BA24" s="138">
        <v>1.5543582200097E-4</v>
      </c>
      <c r="BB24" s="138">
        <v>2.3460491518955601E-5</v>
      </c>
      <c r="BC24" s="138">
        <v>2.0169999869325701E-7</v>
      </c>
      <c r="BD24" s="138">
        <v>0</v>
      </c>
      <c r="BE24" s="138">
        <v>2.3662191517648899E-5</v>
      </c>
      <c r="BF24" s="138">
        <v>3.9033193316744501E-4</v>
      </c>
      <c r="BG24" s="138">
        <v>3.3558525551861502E-6</v>
      </c>
      <c r="BH24" s="138">
        <v>0</v>
      </c>
      <c r="BI24" s="138">
        <v>3.9368778572263202E-4</v>
      </c>
      <c r="BJ24" s="140">
        <v>0.22321728368174101</v>
      </c>
    </row>
    <row r="25" spans="1:62">
      <c r="A25" s="134" t="s">
        <v>264</v>
      </c>
      <c r="B25" s="135">
        <v>2030</v>
      </c>
      <c r="C25" s="135" t="s">
        <v>167</v>
      </c>
      <c r="D25" s="135" t="s">
        <v>131</v>
      </c>
      <c r="E25" s="135" t="s">
        <v>131</v>
      </c>
      <c r="F25" s="135" t="s">
        <v>146</v>
      </c>
      <c r="G25" s="135">
        <v>659.65339459197799</v>
      </c>
      <c r="H25" s="138">
        <v>32785.385911233701</v>
      </c>
      <c r="I25" s="138">
        <v>2982.2673496853199</v>
      </c>
      <c r="J25" s="138">
        <v>5.4581268616439701E-4</v>
      </c>
      <c r="K25" s="138">
        <v>3.5872348751878299E-5</v>
      </c>
      <c r="L25" s="138">
        <v>0</v>
      </c>
      <c r="M25" s="138">
        <v>5.81685034916276E-4</v>
      </c>
      <c r="N25" s="138">
        <v>0</v>
      </c>
      <c r="O25" s="138">
        <v>0</v>
      </c>
      <c r="P25" s="138">
        <v>0</v>
      </c>
      <c r="Q25" s="138">
        <v>0</v>
      </c>
      <c r="R25" s="138">
        <v>5.81685034916276E-4</v>
      </c>
      <c r="S25" s="138">
        <v>6.2136619523311097E-4</v>
      </c>
      <c r="T25" s="138">
        <v>4.0837938404598001E-5</v>
      </c>
      <c r="U25" s="138">
        <v>0</v>
      </c>
      <c r="V25" s="138">
        <v>6.6220413363770898E-4</v>
      </c>
      <c r="W25" s="138">
        <v>0</v>
      </c>
      <c r="X25" s="138">
        <v>0</v>
      </c>
      <c r="Y25" s="138">
        <v>0</v>
      </c>
      <c r="Z25" s="138">
        <v>0</v>
      </c>
      <c r="AA25" s="138">
        <v>6.6220413363770898E-4</v>
      </c>
      <c r="AB25" s="138">
        <v>6.7725136974851798E-3</v>
      </c>
      <c r="AC25" s="138">
        <v>1.5181725162398401E-3</v>
      </c>
      <c r="AD25" s="138">
        <v>0</v>
      </c>
      <c r="AE25" s="138">
        <v>8.2906862137250206E-3</v>
      </c>
      <c r="AF25" s="138">
        <v>7.5749604148626901E-2</v>
      </c>
      <c r="AG25" s="138">
        <v>2.0806315644332899E-3</v>
      </c>
      <c r="AH25" s="138">
        <v>8.8069523043512905E-3</v>
      </c>
      <c r="AI25" s="138">
        <v>8.6637188017411507E-2</v>
      </c>
      <c r="AJ25" s="138">
        <v>37.920874277927503</v>
      </c>
      <c r="AK25" s="138">
        <v>0.40638739637472698</v>
      </c>
      <c r="AL25" s="138">
        <v>0</v>
      </c>
      <c r="AM25" s="138">
        <v>38.327261674302299</v>
      </c>
      <c r="AN25" s="138">
        <v>3.2064333615757298E-4</v>
      </c>
      <c r="AO25" s="138">
        <v>5.2332255692398103E-7</v>
      </c>
      <c r="AP25" s="138">
        <v>0</v>
      </c>
      <c r="AQ25" s="138">
        <v>3.2116665871449702E-4</v>
      </c>
      <c r="AR25" s="138">
        <v>4.33676420675688E-4</v>
      </c>
      <c r="AS25" s="138">
        <v>4.7104487225724297E-3</v>
      </c>
      <c r="AT25" s="138">
        <v>5.4652918019626098E-3</v>
      </c>
      <c r="AU25" s="138">
        <v>3.0677244737007298E-4</v>
      </c>
      <c r="AV25" s="138">
        <v>5.0068385476328596E-7</v>
      </c>
      <c r="AW25" s="138">
        <v>0</v>
      </c>
      <c r="AX25" s="138">
        <v>3.0727313122483601E-4</v>
      </c>
      <c r="AY25" s="138">
        <v>1.08419105168922E-4</v>
      </c>
      <c r="AZ25" s="138">
        <v>2.0187637382453202E-3</v>
      </c>
      <c r="BA25" s="138">
        <v>2.4344559746390798E-3</v>
      </c>
      <c r="BB25" s="138">
        <v>3.5825761727969102E-4</v>
      </c>
      <c r="BC25" s="138">
        <v>3.8393466155512897E-6</v>
      </c>
      <c r="BD25" s="138">
        <v>0</v>
      </c>
      <c r="BE25" s="138">
        <v>3.6209696389524201E-4</v>
      </c>
      <c r="BF25" s="138">
        <v>5.96063335722344E-3</v>
      </c>
      <c r="BG25" s="138">
        <v>6.3878439432403497E-5</v>
      </c>
      <c r="BH25" s="138">
        <v>0</v>
      </c>
      <c r="BI25" s="138">
        <v>6.02451179665584E-3</v>
      </c>
      <c r="BJ25" s="140">
        <v>3.41584170890577</v>
      </c>
    </row>
    <row r="26" spans="1:62">
      <c r="A26" s="134" t="s">
        <v>264</v>
      </c>
      <c r="B26" s="135">
        <v>2030</v>
      </c>
      <c r="C26" s="135" t="s">
        <v>166</v>
      </c>
      <c r="D26" s="135" t="s">
        <v>131</v>
      </c>
      <c r="E26" s="135" t="s">
        <v>131</v>
      </c>
      <c r="F26" s="135" t="s">
        <v>146</v>
      </c>
      <c r="G26" s="135">
        <v>1331.2673185564699</v>
      </c>
      <c r="H26" s="138">
        <v>162919.05643999801</v>
      </c>
      <c r="I26" s="138">
        <v>15362.640282952199</v>
      </c>
      <c r="J26" s="138">
        <v>1.6144021569040601E-3</v>
      </c>
      <c r="K26" s="138">
        <v>7.2393197831251797E-5</v>
      </c>
      <c r="L26" s="138">
        <v>0</v>
      </c>
      <c r="M26" s="138">
        <v>1.68679535473531E-3</v>
      </c>
      <c r="N26" s="138">
        <v>0</v>
      </c>
      <c r="O26" s="138">
        <v>0</v>
      </c>
      <c r="P26" s="138">
        <v>0</v>
      </c>
      <c r="Q26" s="138">
        <v>0</v>
      </c>
      <c r="R26" s="138">
        <v>1.68679535473531E-3</v>
      </c>
      <c r="S26" s="138">
        <v>1.8378739652626199E-3</v>
      </c>
      <c r="T26" s="138">
        <v>8.2414145067368695E-5</v>
      </c>
      <c r="U26" s="138">
        <v>0</v>
      </c>
      <c r="V26" s="138">
        <v>1.92028811032999E-3</v>
      </c>
      <c r="W26" s="138">
        <v>0</v>
      </c>
      <c r="X26" s="138">
        <v>0</v>
      </c>
      <c r="Y26" s="138">
        <v>0</v>
      </c>
      <c r="Z26" s="138">
        <v>0</v>
      </c>
      <c r="AA26" s="138">
        <v>1.92028811032999E-3</v>
      </c>
      <c r="AB26" s="138">
        <v>1.8370498092006499E-2</v>
      </c>
      <c r="AC26" s="138">
        <v>3.06547885026718E-3</v>
      </c>
      <c r="AD26" s="138">
        <v>0</v>
      </c>
      <c r="AE26" s="138">
        <v>2.1435976942273598E-2</v>
      </c>
      <c r="AF26" s="138">
        <v>0.25795108213467699</v>
      </c>
      <c r="AG26" s="138">
        <v>4.1903582423835403E-3</v>
      </c>
      <c r="AH26" s="138">
        <v>3.6142495769710299E-2</v>
      </c>
      <c r="AI26" s="138">
        <v>0.29828393614677101</v>
      </c>
      <c r="AJ26" s="138">
        <v>147.560263694453</v>
      </c>
      <c r="AK26" s="138">
        <v>0.80784228610384701</v>
      </c>
      <c r="AL26" s="138">
        <v>0</v>
      </c>
      <c r="AM26" s="138">
        <v>148.368105980557</v>
      </c>
      <c r="AN26" s="138">
        <v>1.22548332858424E-3</v>
      </c>
      <c r="AO26" s="138">
        <v>1.0459440318462799E-6</v>
      </c>
      <c r="AP26" s="138">
        <v>0</v>
      </c>
      <c r="AQ26" s="138">
        <v>1.2265292726160899E-3</v>
      </c>
      <c r="AR26" s="138">
        <v>2.1550502241472701E-3</v>
      </c>
      <c r="AS26" s="138">
        <v>2.3407437184612901E-2</v>
      </c>
      <c r="AT26" s="138">
        <v>2.6789016681376301E-2</v>
      </c>
      <c r="AU26" s="138">
        <v>1.1724694622571601E-3</v>
      </c>
      <c r="AV26" s="138">
        <v>1.00069695602194E-6</v>
      </c>
      <c r="AW26" s="138">
        <v>0</v>
      </c>
      <c r="AX26" s="138">
        <v>1.17347015921318E-3</v>
      </c>
      <c r="AY26" s="138">
        <v>5.3876255603681699E-4</v>
      </c>
      <c r="AZ26" s="138">
        <v>1.0031758793405499E-2</v>
      </c>
      <c r="BA26" s="138">
        <v>1.17439915086555E-2</v>
      </c>
      <c r="BB26" s="138">
        <v>1.3940762042796101E-3</v>
      </c>
      <c r="BC26" s="138">
        <v>7.6320933540765298E-6</v>
      </c>
      <c r="BD26" s="138">
        <v>0</v>
      </c>
      <c r="BE26" s="138">
        <v>1.40170829763369E-3</v>
      </c>
      <c r="BF26" s="138">
        <v>2.3194418555107101E-2</v>
      </c>
      <c r="BG26" s="138">
        <v>1.26981557509316E-4</v>
      </c>
      <c r="BH26" s="138">
        <v>0</v>
      </c>
      <c r="BI26" s="138">
        <v>2.3321400112616401E-2</v>
      </c>
      <c r="BJ26" s="140">
        <v>13.2230152257274</v>
      </c>
    </row>
    <row r="27" spans="1:62">
      <c r="A27" s="134" t="s">
        <v>264</v>
      </c>
      <c r="B27" s="135">
        <v>2030</v>
      </c>
      <c r="C27" s="135" t="s">
        <v>165</v>
      </c>
      <c r="D27" s="135" t="s">
        <v>131</v>
      </c>
      <c r="E27" s="135" t="s">
        <v>131</v>
      </c>
      <c r="F27" s="135" t="s">
        <v>146</v>
      </c>
      <c r="G27" s="135">
        <v>4704.1760550910303</v>
      </c>
      <c r="H27" s="138">
        <v>226776.28786196699</v>
      </c>
      <c r="I27" s="138">
        <v>54285.539466561502</v>
      </c>
      <c r="J27" s="138">
        <v>2.24035966638555E-3</v>
      </c>
      <c r="K27" s="138">
        <v>2.5580913993930999E-4</v>
      </c>
      <c r="L27" s="138">
        <v>0</v>
      </c>
      <c r="M27" s="138">
        <v>2.4961688063248602E-3</v>
      </c>
      <c r="N27" s="138">
        <v>0</v>
      </c>
      <c r="O27" s="138">
        <v>0</v>
      </c>
      <c r="P27" s="138">
        <v>0</v>
      </c>
      <c r="Q27" s="138">
        <v>0</v>
      </c>
      <c r="R27" s="138">
        <v>2.4961688063248602E-3</v>
      </c>
      <c r="S27" s="138">
        <v>2.5504789411150098E-3</v>
      </c>
      <c r="T27" s="138">
        <v>2.9121923329951301E-4</v>
      </c>
      <c r="U27" s="138">
        <v>0</v>
      </c>
      <c r="V27" s="138">
        <v>2.8416981744145199E-3</v>
      </c>
      <c r="W27" s="138">
        <v>0</v>
      </c>
      <c r="X27" s="138">
        <v>0</v>
      </c>
      <c r="Y27" s="138">
        <v>0</v>
      </c>
      <c r="Z27" s="138">
        <v>0</v>
      </c>
      <c r="AA27" s="138">
        <v>2.8416981744145199E-3</v>
      </c>
      <c r="AB27" s="138">
        <v>2.5493066332959499E-2</v>
      </c>
      <c r="AC27" s="138">
        <v>1.08321987656479E-2</v>
      </c>
      <c r="AD27" s="138">
        <v>0</v>
      </c>
      <c r="AE27" s="138">
        <v>3.6325265098607402E-2</v>
      </c>
      <c r="AF27" s="138">
        <v>0.35773683474866103</v>
      </c>
      <c r="AG27" s="138">
        <v>1.48070809155357E-2</v>
      </c>
      <c r="AH27" s="138">
        <v>0.12794491575817099</v>
      </c>
      <c r="AI27" s="138">
        <v>0.500488831422368</v>
      </c>
      <c r="AJ27" s="138">
        <v>220.321739662505</v>
      </c>
      <c r="AK27" s="138">
        <v>2.84337486227346</v>
      </c>
      <c r="AL27" s="138">
        <v>0</v>
      </c>
      <c r="AM27" s="138">
        <v>223.165114524779</v>
      </c>
      <c r="AN27" s="138">
        <v>1.6949148566380099E-3</v>
      </c>
      <c r="AO27" s="138">
        <v>3.69595557630896E-6</v>
      </c>
      <c r="AP27" s="138">
        <v>0</v>
      </c>
      <c r="AQ27" s="138">
        <v>1.69861081221432E-3</v>
      </c>
      <c r="AR27" s="138">
        <v>2.9997368059162901E-3</v>
      </c>
      <c r="AS27" s="138">
        <v>3.2582141273594101E-2</v>
      </c>
      <c r="AT27" s="138">
        <v>3.7280488891724799E-2</v>
      </c>
      <c r="AU27" s="138">
        <v>1.6215935902039701E-3</v>
      </c>
      <c r="AV27" s="138">
        <v>3.5360701741145099E-6</v>
      </c>
      <c r="AW27" s="138">
        <v>0</v>
      </c>
      <c r="AX27" s="138">
        <v>1.62512966037809E-3</v>
      </c>
      <c r="AY27" s="138">
        <v>7.4993420147907405E-4</v>
      </c>
      <c r="AZ27" s="138">
        <v>1.39637748315403E-2</v>
      </c>
      <c r="BA27" s="138">
        <v>1.6338838693397501E-2</v>
      </c>
      <c r="BB27" s="138">
        <v>2.0814905507689999E-3</v>
      </c>
      <c r="BC27" s="138">
        <v>2.6862795823881801E-5</v>
      </c>
      <c r="BD27" s="138">
        <v>0</v>
      </c>
      <c r="BE27" s="138">
        <v>2.1083533465928801E-3</v>
      </c>
      <c r="BF27" s="138">
        <v>3.4631509314072703E-2</v>
      </c>
      <c r="BG27" s="138">
        <v>4.4693893202306303E-4</v>
      </c>
      <c r="BH27" s="138">
        <v>0</v>
      </c>
      <c r="BI27" s="138">
        <v>3.5078448246095802E-2</v>
      </c>
      <c r="BJ27" s="140">
        <v>19.889151295084002</v>
      </c>
    </row>
    <row r="28" spans="1:62">
      <c r="A28" s="134" t="s">
        <v>264</v>
      </c>
      <c r="B28" s="135">
        <v>2030</v>
      </c>
      <c r="C28" s="135" t="s">
        <v>164</v>
      </c>
      <c r="D28" s="135" t="s">
        <v>131</v>
      </c>
      <c r="E28" s="135" t="s">
        <v>131</v>
      </c>
      <c r="F28" s="135" t="s">
        <v>146</v>
      </c>
      <c r="G28" s="135">
        <v>15.5834552330878</v>
      </c>
      <c r="H28" s="138">
        <v>2775.5790536684799</v>
      </c>
      <c r="I28" s="138">
        <v>227.51844640308201</v>
      </c>
      <c r="J28" s="138">
        <v>2.3746159723585001E-5</v>
      </c>
      <c r="K28" s="138">
        <v>8.4741519742755703E-7</v>
      </c>
      <c r="L28" s="138">
        <v>0</v>
      </c>
      <c r="M28" s="138">
        <v>2.4593574921012602E-5</v>
      </c>
      <c r="N28" s="138">
        <v>0</v>
      </c>
      <c r="O28" s="138">
        <v>0</v>
      </c>
      <c r="P28" s="138">
        <v>0</v>
      </c>
      <c r="Q28" s="138">
        <v>0</v>
      </c>
      <c r="R28" s="138">
        <v>2.4593574921012602E-5</v>
      </c>
      <c r="S28" s="138">
        <v>2.7033195257021899E-5</v>
      </c>
      <c r="T28" s="138">
        <v>9.6471769593438807E-7</v>
      </c>
      <c r="U28" s="138">
        <v>0</v>
      </c>
      <c r="V28" s="138">
        <v>2.7997912952956299E-5</v>
      </c>
      <c r="W28" s="138">
        <v>0</v>
      </c>
      <c r="X28" s="138">
        <v>0</v>
      </c>
      <c r="Y28" s="138">
        <v>0</v>
      </c>
      <c r="Z28" s="138">
        <v>0</v>
      </c>
      <c r="AA28" s="138">
        <v>2.7997912952956299E-5</v>
      </c>
      <c r="AB28" s="138">
        <v>1.96802667559429E-4</v>
      </c>
      <c r="AC28" s="138">
        <v>3.5883666462206401E-5</v>
      </c>
      <c r="AD28" s="138">
        <v>0</v>
      </c>
      <c r="AE28" s="138">
        <v>2.3268633402163499E-4</v>
      </c>
      <c r="AF28" s="138">
        <v>2.8025668705612301E-3</v>
      </c>
      <c r="AG28" s="138">
        <v>4.9051200439286298E-5</v>
      </c>
      <c r="AH28" s="138">
        <v>3.2966258909872899E-4</v>
      </c>
      <c r="AI28" s="138">
        <v>3.1812806600992499E-3</v>
      </c>
      <c r="AJ28" s="138">
        <v>2.2345596404170802</v>
      </c>
      <c r="AK28" s="138">
        <v>8.9813653359302296E-3</v>
      </c>
      <c r="AL28" s="138">
        <v>0</v>
      </c>
      <c r="AM28" s="138">
        <v>2.2435410057530101</v>
      </c>
      <c r="AN28" s="138">
        <v>3.0137213714923301E-5</v>
      </c>
      <c r="AO28" s="138">
        <v>1.2243537995258399E-8</v>
      </c>
      <c r="AP28" s="138">
        <v>0</v>
      </c>
      <c r="AQ28" s="138">
        <v>3.0149457252918599E-5</v>
      </c>
      <c r="AR28" s="138">
        <v>3.6714626222682902E-5</v>
      </c>
      <c r="AS28" s="138">
        <v>3.9878203182204102E-4</v>
      </c>
      <c r="AT28" s="138">
        <v>4.6564611529764302E-4</v>
      </c>
      <c r="AU28" s="138">
        <v>2.8833491190032299E-5</v>
      </c>
      <c r="AV28" s="138">
        <v>1.17138879612583E-8</v>
      </c>
      <c r="AW28" s="138">
        <v>0</v>
      </c>
      <c r="AX28" s="138">
        <v>2.8845205077993499E-5</v>
      </c>
      <c r="AY28" s="138">
        <v>9.1786565556707408E-6</v>
      </c>
      <c r="AZ28" s="138">
        <v>1.70906585066589E-4</v>
      </c>
      <c r="BA28" s="138">
        <v>2.0893044670025301E-4</v>
      </c>
      <c r="BB28" s="138">
        <v>2.1111011486123801E-5</v>
      </c>
      <c r="BC28" s="138">
        <v>8.4851486323501099E-8</v>
      </c>
      <c r="BD28" s="138">
        <v>0</v>
      </c>
      <c r="BE28" s="138">
        <v>2.1195862972447299E-5</v>
      </c>
      <c r="BF28" s="138">
        <v>3.5124165739839101E-4</v>
      </c>
      <c r="BG28" s="138">
        <v>1.41174555793184E-6</v>
      </c>
      <c r="BH28" s="138">
        <v>0</v>
      </c>
      <c r="BI28" s="138">
        <v>3.5265340295632198E-4</v>
      </c>
      <c r="BJ28" s="140">
        <v>0.19995117335058199</v>
      </c>
    </row>
    <row r="29" spans="1:62">
      <c r="A29" s="134" t="s">
        <v>264</v>
      </c>
      <c r="B29" s="135">
        <v>2030</v>
      </c>
      <c r="C29" s="135" t="s">
        <v>163</v>
      </c>
      <c r="D29" s="135" t="s">
        <v>131</v>
      </c>
      <c r="E29" s="135" t="s">
        <v>131</v>
      </c>
      <c r="F29" s="135" t="s">
        <v>146</v>
      </c>
      <c r="G29" s="135">
        <v>8.0284392537945006</v>
      </c>
      <c r="H29" s="138">
        <v>365.33561001907998</v>
      </c>
      <c r="I29" s="138">
        <v>117.215213105399</v>
      </c>
      <c r="J29" s="138">
        <v>3.18588408376826E-6</v>
      </c>
      <c r="K29" s="138">
        <v>4.3657977858748098E-7</v>
      </c>
      <c r="L29" s="138">
        <v>0</v>
      </c>
      <c r="M29" s="138">
        <v>3.6224638623557399E-6</v>
      </c>
      <c r="N29" s="138">
        <v>0</v>
      </c>
      <c r="O29" s="138">
        <v>0</v>
      </c>
      <c r="P29" s="138">
        <v>0</v>
      </c>
      <c r="Q29" s="138">
        <v>0</v>
      </c>
      <c r="R29" s="138">
        <v>3.6224638623557399E-6</v>
      </c>
      <c r="S29" s="138">
        <v>3.62688651576808E-6</v>
      </c>
      <c r="T29" s="138">
        <v>4.9701284490648404E-7</v>
      </c>
      <c r="U29" s="138">
        <v>0</v>
      </c>
      <c r="V29" s="138">
        <v>4.1238993606745701E-6</v>
      </c>
      <c r="W29" s="138">
        <v>0</v>
      </c>
      <c r="X29" s="138">
        <v>0</v>
      </c>
      <c r="Y29" s="138">
        <v>0</v>
      </c>
      <c r="Z29" s="138">
        <v>0</v>
      </c>
      <c r="AA29" s="138">
        <v>4.1238993606745701E-6</v>
      </c>
      <c r="AB29" s="138">
        <v>2.64038696616844E-5</v>
      </c>
      <c r="AC29" s="138">
        <v>1.8486903712056999E-5</v>
      </c>
      <c r="AD29" s="138">
        <v>0</v>
      </c>
      <c r="AE29" s="138">
        <v>4.4890773373741497E-5</v>
      </c>
      <c r="AF29" s="138">
        <v>3.8222942062349598E-4</v>
      </c>
      <c r="AG29" s="138">
        <v>2.5270684656401201E-5</v>
      </c>
      <c r="AH29" s="138">
        <v>1.6987617604773299E-4</v>
      </c>
      <c r="AI29" s="138">
        <v>5.7737628132763002E-4</v>
      </c>
      <c r="AJ29" s="138">
        <v>0.32537558354880203</v>
      </c>
      <c r="AK29" s="138">
        <v>4.64964921227591E-3</v>
      </c>
      <c r="AL29" s="138">
        <v>0</v>
      </c>
      <c r="AM29" s="138">
        <v>0.33002523276107798</v>
      </c>
      <c r="AN29" s="138">
        <v>4.1657735532972502E-6</v>
      </c>
      <c r="AO29" s="138">
        <v>6.3077475165936003E-9</v>
      </c>
      <c r="AP29" s="138">
        <v>0</v>
      </c>
      <c r="AQ29" s="138">
        <v>4.1720813008138502E-6</v>
      </c>
      <c r="AR29" s="138">
        <v>4.8325629024899099E-6</v>
      </c>
      <c r="AS29" s="138">
        <v>5.2489687392544603E-5</v>
      </c>
      <c r="AT29" s="138">
        <v>6.14943315958484E-5</v>
      </c>
      <c r="AU29" s="138">
        <v>3.9855640333860097E-6</v>
      </c>
      <c r="AV29" s="138">
        <v>6.0348771511876399E-9</v>
      </c>
      <c r="AW29" s="138">
        <v>0</v>
      </c>
      <c r="AX29" s="138">
        <v>3.9915989105371897E-6</v>
      </c>
      <c r="AY29" s="138">
        <v>1.2081407256224701E-6</v>
      </c>
      <c r="AZ29" s="138">
        <v>2.2495580311090499E-5</v>
      </c>
      <c r="BA29" s="138">
        <v>2.76953199472502E-5</v>
      </c>
      <c r="BB29" s="138">
        <v>3.07398717732184E-6</v>
      </c>
      <c r="BC29" s="138">
        <v>4.3927580249539499E-8</v>
      </c>
      <c r="BD29" s="138">
        <v>0</v>
      </c>
      <c r="BE29" s="138">
        <v>3.1179147575713799E-6</v>
      </c>
      <c r="BF29" s="138">
        <v>5.1144510612085698E-5</v>
      </c>
      <c r="BG29" s="138">
        <v>7.3086010599210701E-7</v>
      </c>
      <c r="BH29" s="138">
        <v>0</v>
      </c>
      <c r="BI29" s="138">
        <v>5.1875370718077798E-5</v>
      </c>
      <c r="BJ29" s="140">
        <v>2.9412848865549599E-2</v>
      </c>
    </row>
    <row r="30" spans="1:62">
      <c r="A30" s="134" t="s">
        <v>264</v>
      </c>
      <c r="B30" s="135">
        <v>2030</v>
      </c>
      <c r="C30" s="135" t="s">
        <v>162</v>
      </c>
      <c r="D30" s="135" t="s">
        <v>131</v>
      </c>
      <c r="E30" s="135" t="s">
        <v>131</v>
      </c>
      <c r="F30" s="135" t="s">
        <v>146</v>
      </c>
      <c r="G30" s="135">
        <v>401.79167665287599</v>
      </c>
      <c r="H30" s="138">
        <v>6265.8191811361803</v>
      </c>
      <c r="I30" s="138">
        <v>1218.7680846282899</v>
      </c>
      <c r="J30" s="138">
        <v>2.36686067313201E-4</v>
      </c>
      <c r="K30" s="138">
        <v>1.1927237559607299E-4</v>
      </c>
      <c r="L30" s="138">
        <v>0</v>
      </c>
      <c r="M30" s="138">
        <v>3.5595844290927498E-4</v>
      </c>
      <c r="N30" s="138">
        <v>0</v>
      </c>
      <c r="O30" s="138">
        <v>0</v>
      </c>
      <c r="P30" s="138">
        <v>0</v>
      </c>
      <c r="Q30" s="138">
        <v>0</v>
      </c>
      <c r="R30" s="138">
        <v>3.5595844290927498E-4</v>
      </c>
      <c r="S30" s="138">
        <v>2.6944907078762002E-4</v>
      </c>
      <c r="T30" s="138">
        <v>1.35782520449193E-4</v>
      </c>
      <c r="U30" s="138">
        <v>0</v>
      </c>
      <c r="V30" s="138">
        <v>4.0523159123681399E-4</v>
      </c>
      <c r="W30" s="138">
        <v>0</v>
      </c>
      <c r="X30" s="138">
        <v>0</v>
      </c>
      <c r="Y30" s="138">
        <v>0</v>
      </c>
      <c r="Z30" s="138">
        <v>0</v>
      </c>
      <c r="AA30" s="138">
        <v>4.0523159123681399E-4</v>
      </c>
      <c r="AB30" s="138">
        <v>1.03990306497561E-3</v>
      </c>
      <c r="AC30" s="138">
        <v>4.1317813666951102E-3</v>
      </c>
      <c r="AD30" s="138">
        <v>0</v>
      </c>
      <c r="AE30" s="138">
        <v>5.1716844316707297E-3</v>
      </c>
      <c r="AF30" s="138">
        <v>1.7761543520516E-2</v>
      </c>
      <c r="AG30" s="138">
        <v>1.02559184738268E-2</v>
      </c>
      <c r="AH30" s="138">
        <v>3.39715709720044E-3</v>
      </c>
      <c r="AI30" s="138">
        <v>3.1414619091543299E-2</v>
      </c>
      <c r="AJ30" s="138">
        <v>6.9824048246084001</v>
      </c>
      <c r="AK30" s="138">
        <v>1.3513039412538199</v>
      </c>
      <c r="AL30" s="138">
        <v>0</v>
      </c>
      <c r="AM30" s="138">
        <v>8.3337087658622195</v>
      </c>
      <c r="AN30" s="138">
        <v>8.4417777307479696E-5</v>
      </c>
      <c r="AO30" s="138">
        <v>7.6442597099045305E-6</v>
      </c>
      <c r="AP30" s="138">
        <v>0</v>
      </c>
      <c r="AQ30" s="138">
        <v>9.2062037017384194E-5</v>
      </c>
      <c r="AR30" s="138">
        <v>8.2882600266880795E-5</v>
      </c>
      <c r="AS30" s="138">
        <v>9.0024317656543697E-4</v>
      </c>
      <c r="AT30" s="138">
        <v>1.0751878138497001E-3</v>
      </c>
      <c r="AU30" s="138">
        <v>8.0765901629188197E-5</v>
      </c>
      <c r="AV30" s="138">
        <v>7.3135724186309898E-6</v>
      </c>
      <c r="AW30" s="138">
        <v>0</v>
      </c>
      <c r="AX30" s="138">
        <v>8.8079474047819196E-5</v>
      </c>
      <c r="AY30" s="138">
        <v>2.0720650066720199E-5</v>
      </c>
      <c r="AZ30" s="138">
        <v>3.8581850424232998E-4</v>
      </c>
      <c r="BA30" s="138">
        <v>4.9461862835686898E-4</v>
      </c>
      <c r="BB30" s="138">
        <v>6.5966298588280699E-5</v>
      </c>
      <c r="BC30" s="138">
        <v>1.2766449598869999E-5</v>
      </c>
      <c r="BD30" s="138">
        <v>0</v>
      </c>
      <c r="BE30" s="138">
        <v>7.8732748187150802E-5</v>
      </c>
      <c r="BF30" s="138">
        <v>1.0975368027161701E-3</v>
      </c>
      <c r="BG30" s="138">
        <v>2.1240616154974401E-4</v>
      </c>
      <c r="BH30" s="138">
        <v>0</v>
      </c>
      <c r="BI30" s="138">
        <v>1.3099429642659201E-3</v>
      </c>
      <c r="BJ30" s="140">
        <v>0.74272538002348598</v>
      </c>
    </row>
    <row r="31" spans="1:62">
      <c r="A31" s="134" t="s">
        <v>264</v>
      </c>
      <c r="B31" s="135">
        <v>2030</v>
      </c>
      <c r="C31" s="135" t="s">
        <v>161</v>
      </c>
      <c r="D31" s="135" t="s">
        <v>131</v>
      </c>
      <c r="E31" s="135" t="s">
        <v>131</v>
      </c>
      <c r="F31" s="135" t="s">
        <v>146</v>
      </c>
      <c r="G31" s="135">
        <v>88.372695108011797</v>
      </c>
      <c r="H31" s="138">
        <v>1469.27514528086</v>
      </c>
      <c r="I31" s="138">
        <v>1016.28599374213</v>
      </c>
      <c r="J31" s="138">
        <v>1.18321958071081E-5</v>
      </c>
      <c r="K31" s="138">
        <v>1.32074523863052E-5</v>
      </c>
      <c r="L31" s="138">
        <v>0</v>
      </c>
      <c r="M31" s="138">
        <v>2.50396481934133E-5</v>
      </c>
      <c r="N31" s="138">
        <v>0</v>
      </c>
      <c r="O31" s="138">
        <v>0</v>
      </c>
      <c r="P31" s="138">
        <v>0</v>
      </c>
      <c r="Q31" s="138">
        <v>0</v>
      </c>
      <c r="R31" s="138">
        <v>2.50396481934133E-5</v>
      </c>
      <c r="S31" s="138">
        <v>1.3470054244399699E-5</v>
      </c>
      <c r="T31" s="138">
        <v>1.50356791735124E-5</v>
      </c>
      <c r="U31" s="138">
        <v>0</v>
      </c>
      <c r="V31" s="138">
        <v>2.85057334179122E-5</v>
      </c>
      <c r="W31" s="138">
        <v>0</v>
      </c>
      <c r="X31" s="138">
        <v>0</v>
      </c>
      <c r="Y31" s="138">
        <v>0</v>
      </c>
      <c r="Z31" s="138">
        <v>0</v>
      </c>
      <c r="AA31" s="138">
        <v>2.85057334179122E-5</v>
      </c>
      <c r="AB31" s="138">
        <v>1.3848041580574299E-4</v>
      </c>
      <c r="AC31" s="138">
        <v>5.5926754403783595E-4</v>
      </c>
      <c r="AD31" s="138">
        <v>0</v>
      </c>
      <c r="AE31" s="138">
        <v>6.9774795984357905E-4</v>
      </c>
      <c r="AF31" s="138">
        <v>1.5388256871323399E-3</v>
      </c>
      <c r="AG31" s="138">
        <v>7.6449112106980897E-4</v>
      </c>
      <c r="AH31" s="138">
        <v>2.2047271205762301E-3</v>
      </c>
      <c r="AI31" s="138">
        <v>4.5080439287783899E-3</v>
      </c>
      <c r="AJ31" s="138">
        <v>1.38761131432464</v>
      </c>
      <c r="AK31" s="138">
        <v>0.14070499945377199</v>
      </c>
      <c r="AL31" s="138">
        <v>0</v>
      </c>
      <c r="AM31" s="138">
        <v>1.5283163137784099</v>
      </c>
      <c r="AN31" s="138">
        <v>5.5861361499878703E-6</v>
      </c>
      <c r="AO31" s="138">
        <v>1.9082256915284801E-7</v>
      </c>
      <c r="AP31" s="138">
        <v>0</v>
      </c>
      <c r="AQ31" s="138">
        <v>5.7769587191407199E-6</v>
      </c>
      <c r="AR31" s="138">
        <v>1.9435183338038001E-5</v>
      </c>
      <c r="AS31" s="138">
        <v>2.11098483023322E-4</v>
      </c>
      <c r="AT31" s="138">
        <v>2.36310625080501E-4</v>
      </c>
      <c r="AU31" s="138">
        <v>5.3444823728757197E-6</v>
      </c>
      <c r="AV31" s="138">
        <v>1.8256766928003901E-7</v>
      </c>
      <c r="AW31" s="138">
        <v>0</v>
      </c>
      <c r="AX31" s="138">
        <v>5.5270500421557599E-6</v>
      </c>
      <c r="AY31" s="138">
        <v>4.8587958345095004E-6</v>
      </c>
      <c r="AZ31" s="138">
        <v>9.0470778438566895E-5</v>
      </c>
      <c r="BA31" s="138">
        <v>1.00856624315232E-4</v>
      </c>
      <c r="BB31" s="138">
        <v>1.3109463656792399E-5</v>
      </c>
      <c r="BC31" s="138">
        <v>1.3293110668861801E-6</v>
      </c>
      <c r="BD31" s="138">
        <v>0</v>
      </c>
      <c r="BE31" s="138">
        <v>1.4438774723678599E-5</v>
      </c>
      <c r="BF31" s="138">
        <v>2.1811317498653701E-4</v>
      </c>
      <c r="BG31" s="138">
        <v>2.2116866481647401E-5</v>
      </c>
      <c r="BH31" s="138">
        <v>0</v>
      </c>
      <c r="BI31" s="138">
        <v>2.40230041468185E-4</v>
      </c>
      <c r="BJ31" s="140">
        <v>0.13620818135582199</v>
      </c>
    </row>
    <row r="32" spans="1:62">
      <c r="A32" s="134" t="s">
        <v>264</v>
      </c>
      <c r="B32" s="135">
        <v>2030</v>
      </c>
      <c r="C32" s="135" t="s">
        <v>160</v>
      </c>
      <c r="D32" s="135" t="s">
        <v>131</v>
      </c>
      <c r="E32" s="135" t="s">
        <v>131</v>
      </c>
      <c r="F32" s="135" t="s">
        <v>146</v>
      </c>
      <c r="G32" s="135">
        <v>3.6096072080318602</v>
      </c>
      <c r="H32" s="138">
        <v>22.060258442334</v>
      </c>
      <c r="I32" s="138">
        <v>15.882271715340099</v>
      </c>
      <c r="J32" s="138">
        <v>5.5786207606336395E-7</v>
      </c>
      <c r="K32" s="138">
        <v>2.9051976929424502E-6</v>
      </c>
      <c r="L32" s="138">
        <v>0</v>
      </c>
      <c r="M32" s="138">
        <v>3.4630597690058098E-6</v>
      </c>
      <c r="N32" s="138">
        <v>0</v>
      </c>
      <c r="O32" s="138">
        <v>0</v>
      </c>
      <c r="P32" s="138">
        <v>0</v>
      </c>
      <c r="Q32" s="138">
        <v>0</v>
      </c>
      <c r="R32" s="138">
        <v>3.4630597690058098E-6</v>
      </c>
      <c r="S32" s="138">
        <v>6.3508350841799696E-7</v>
      </c>
      <c r="T32" s="138">
        <v>3.3073464260226799E-6</v>
      </c>
      <c r="U32" s="138">
        <v>0</v>
      </c>
      <c r="V32" s="138">
        <v>3.94242993444068E-6</v>
      </c>
      <c r="W32" s="138">
        <v>0</v>
      </c>
      <c r="X32" s="138">
        <v>0</v>
      </c>
      <c r="Y32" s="138">
        <v>0</v>
      </c>
      <c r="Z32" s="138">
        <v>0</v>
      </c>
      <c r="AA32" s="138">
        <v>3.94242993444068E-6</v>
      </c>
      <c r="AB32" s="138">
        <v>4.7451738475384398E-6</v>
      </c>
      <c r="AC32" s="138">
        <v>4.2926677278955902E-5</v>
      </c>
      <c r="AD32" s="138">
        <v>0</v>
      </c>
      <c r="AE32" s="138">
        <v>4.76718511264943E-5</v>
      </c>
      <c r="AF32" s="138">
        <v>9.3241067370804299E-5</v>
      </c>
      <c r="AG32" s="138">
        <v>3.4330537668612701E-5</v>
      </c>
      <c r="AH32" s="138">
        <v>1.15741794297383E-4</v>
      </c>
      <c r="AI32" s="138">
        <v>2.433133993368E-4</v>
      </c>
      <c r="AJ32" s="138">
        <v>3.9574460213216797E-2</v>
      </c>
      <c r="AK32" s="138">
        <v>8.19564672953693E-3</v>
      </c>
      <c r="AL32" s="138">
        <v>0</v>
      </c>
      <c r="AM32" s="138">
        <v>4.7770106942753701E-2</v>
      </c>
      <c r="AN32" s="138">
        <v>1.01860518631911E-6</v>
      </c>
      <c r="AO32" s="138">
        <v>1.23640104239547E-8</v>
      </c>
      <c r="AP32" s="138">
        <v>0</v>
      </c>
      <c r="AQ32" s="138">
        <v>1.0309691967430601E-6</v>
      </c>
      <c r="AR32" s="138">
        <v>8.7542180650440201E-7</v>
      </c>
      <c r="AS32" s="138">
        <v>1.50134839815504E-6</v>
      </c>
      <c r="AT32" s="138">
        <v>3.4077394014025102E-6</v>
      </c>
      <c r="AU32" s="138">
        <v>9.7454077685057804E-7</v>
      </c>
      <c r="AV32" s="138">
        <v>1.1829148806017E-8</v>
      </c>
      <c r="AW32" s="138">
        <v>0</v>
      </c>
      <c r="AX32" s="138">
        <v>9.8636992565659501E-7</v>
      </c>
      <c r="AY32" s="138">
        <v>2.188554516261E-7</v>
      </c>
      <c r="AZ32" s="138">
        <v>6.43435027780735E-7</v>
      </c>
      <c r="BA32" s="138">
        <v>1.8486604050634301E-6</v>
      </c>
      <c r="BB32" s="138">
        <v>3.7387987727301501E-7</v>
      </c>
      <c r="BC32" s="138">
        <v>7.74284065254008E-8</v>
      </c>
      <c r="BD32" s="138">
        <v>0</v>
      </c>
      <c r="BE32" s="138">
        <v>4.5130828379841601E-7</v>
      </c>
      <c r="BF32" s="138">
        <v>6.2205540387109297E-6</v>
      </c>
      <c r="BG32" s="138">
        <v>1.2882415347826399E-6</v>
      </c>
      <c r="BH32" s="138">
        <v>0</v>
      </c>
      <c r="BI32" s="138">
        <v>7.5087955734935703E-6</v>
      </c>
      <c r="BJ32" s="140">
        <v>4.2574166952123503E-3</v>
      </c>
    </row>
    <row r="33" spans="1:62">
      <c r="A33" s="134" t="s">
        <v>264</v>
      </c>
      <c r="B33" s="135">
        <v>2030</v>
      </c>
      <c r="C33" s="135" t="s">
        <v>159</v>
      </c>
      <c r="D33" s="135" t="s">
        <v>131</v>
      </c>
      <c r="E33" s="135" t="s">
        <v>131</v>
      </c>
      <c r="F33" s="135" t="s">
        <v>146</v>
      </c>
      <c r="G33" s="135">
        <v>75.557090456547101</v>
      </c>
      <c r="H33" s="138">
        <v>15110.4113097096</v>
      </c>
      <c r="I33" s="138">
        <v>1103.1335206655799</v>
      </c>
      <c r="J33" s="138">
        <v>3.3640367651876699E-4</v>
      </c>
      <c r="K33" s="138">
        <v>8.6903972185100003E-4</v>
      </c>
      <c r="L33" s="138">
        <v>0</v>
      </c>
      <c r="M33" s="138">
        <v>1.20544339836976E-3</v>
      </c>
      <c r="N33" s="138">
        <v>0</v>
      </c>
      <c r="O33" s="138">
        <v>0</v>
      </c>
      <c r="P33" s="138">
        <v>0</v>
      </c>
      <c r="Q33" s="138">
        <v>0</v>
      </c>
      <c r="R33" s="138">
        <v>1.20544339836976E-3</v>
      </c>
      <c r="S33" s="138">
        <v>3.82969978235239E-4</v>
      </c>
      <c r="T33" s="138">
        <v>9.893355709038119E-4</v>
      </c>
      <c r="U33" s="138">
        <v>0</v>
      </c>
      <c r="V33" s="138">
        <v>1.3723055491390501E-3</v>
      </c>
      <c r="W33" s="138">
        <v>0</v>
      </c>
      <c r="X33" s="138">
        <v>0</v>
      </c>
      <c r="Y33" s="138">
        <v>0</v>
      </c>
      <c r="Z33" s="138">
        <v>0</v>
      </c>
      <c r="AA33" s="138">
        <v>1.3723055491390501E-3</v>
      </c>
      <c r="AB33" s="138">
        <v>3.1261411532347801E-3</v>
      </c>
      <c r="AC33" s="138">
        <v>1.28407742347847E-2</v>
      </c>
      <c r="AD33" s="138">
        <v>0</v>
      </c>
      <c r="AE33" s="138">
        <v>1.59669153880195E-2</v>
      </c>
      <c r="AF33" s="138">
        <v>3.5067388399022098E-2</v>
      </c>
      <c r="AG33" s="138">
        <v>1.02693875115635E-2</v>
      </c>
      <c r="AH33" s="138">
        <v>2.7129775343070002E-3</v>
      </c>
      <c r="AI33" s="138">
        <v>4.8049753444892603E-2</v>
      </c>
      <c r="AJ33" s="138">
        <v>17.9576812278364</v>
      </c>
      <c r="AK33" s="138">
        <v>1.8779602265422499</v>
      </c>
      <c r="AL33" s="138">
        <v>0</v>
      </c>
      <c r="AM33" s="138">
        <v>19.835641454378599</v>
      </c>
      <c r="AN33" s="138">
        <v>4.7721548470422198E-4</v>
      </c>
      <c r="AO33" s="138">
        <v>3.6984802121723801E-6</v>
      </c>
      <c r="AP33" s="138">
        <v>0</v>
      </c>
      <c r="AQ33" s="138">
        <v>4.8091396491639399E-4</v>
      </c>
      <c r="AR33" s="138">
        <v>5.9962958277885703E-4</v>
      </c>
      <c r="AS33" s="138">
        <v>1.0283647344657401E-3</v>
      </c>
      <c r="AT33" s="138">
        <v>2.1089082821609899E-3</v>
      </c>
      <c r="AU33" s="138">
        <v>4.56571354078184E-4</v>
      </c>
      <c r="AV33" s="138">
        <v>3.53848559534802E-6</v>
      </c>
      <c r="AW33" s="138">
        <v>0</v>
      </c>
      <c r="AX33" s="138">
        <v>4.6010983967353198E-4</v>
      </c>
      <c r="AY33" s="138">
        <v>1.4990739569471399E-4</v>
      </c>
      <c r="AZ33" s="138">
        <v>4.4072774334245998E-4</v>
      </c>
      <c r="BA33" s="138">
        <v>1.0507449787107001E-3</v>
      </c>
      <c r="BB33" s="138">
        <v>1.6965526800360699E-4</v>
      </c>
      <c r="BC33" s="138">
        <v>1.7742037042080199E-5</v>
      </c>
      <c r="BD33" s="138">
        <v>0</v>
      </c>
      <c r="BE33" s="138">
        <v>1.8739730504568699E-4</v>
      </c>
      <c r="BF33" s="138">
        <v>2.8226974135807398E-3</v>
      </c>
      <c r="BG33" s="138">
        <v>2.9518919547649199E-4</v>
      </c>
      <c r="BH33" s="138">
        <v>0</v>
      </c>
      <c r="BI33" s="138">
        <v>3.1178866090572398E-3</v>
      </c>
      <c r="BJ33" s="140">
        <v>1.76781247714849</v>
      </c>
    </row>
    <row r="34" spans="1:62">
      <c r="A34" s="134" t="s">
        <v>264</v>
      </c>
      <c r="B34" s="135">
        <v>2030</v>
      </c>
      <c r="C34" s="135" t="s">
        <v>158</v>
      </c>
      <c r="D34" s="135" t="s">
        <v>131</v>
      </c>
      <c r="E34" s="135" t="s">
        <v>131</v>
      </c>
      <c r="F34" s="135" t="s">
        <v>146</v>
      </c>
      <c r="G34" s="135">
        <v>7.8361560672975097</v>
      </c>
      <c r="H34" s="138">
        <v>1443.71887429139</v>
      </c>
      <c r="I34" s="138">
        <v>35.426956911204698</v>
      </c>
      <c r="J34" s="138">
        <v>5.6427341617835101E-5</v>
      </c>
      <c r="K34" s="138">
        <v>1.37722800029517E-5</v>
      </c>
      <c r="L34" s="138">
        <v>0</v>
      </c>
      <c r="M34" s="138">
        <v>7.0199621620786905E-5</v>
      </c>
      <c r="N34" s="138">
        <v>0</v>
      </c>
      <c r="O34" s="138">
        <v>0</v>
      </c>
      <c r="P34" s="138">
        <v>0</v>
      </c>
      <c r="Q34" s="138">
        <v>0</v>
      </c>
      <c r="R34" s="138">
        <v>7.0199621620786905E-5</v>
      </c>
      <c r="S34" s="138">
        <v>6.4238233109943895E-5</v>
      </c>
      <c r="T34" s="138">
        <v>1.56786924196585E-5</v>
      </c>
      <c r="U34" s="138">
        <v>0</v>
      </c>
      <c r="V34" s="138">
        <v>7.9916925529602406E-5</v>
      </c>
      <c r="W34" s="138">
        <v>0</v>
      </c>
      <c r="X34" s="138">
        <v>0</v>
      </c>
      <c r="Y34" s="138">
        <v>0</v>
      </c>
      <c r="Z34" s="138">
        <v>0</v>
      </c>
      <c r="AA34" s="138">
        <v>7.9916925529602406E-5</v>
      </c>
      <c r="AB34" s="138">
        <v>7.8622202141532703E-4</v>
      </c>
      <c r="AC34" s="138">
        <v>2.0349672606388E-4</v>
      </c>
      <c r="AD34" s="138">
        <v>0</v>
      </c>
      <c r="AE34" s="138">
        <v>9.8971874747920798E-4</v>
      </c>
      <c r="AF34" s="138">
        <v>6.3754524951792702E-3</v>
      </c>
      <c r="AG34" s="138">
        <v>1.6274616304859599E-4</v>
      </c>
      <c r="AH34" s="138">
        <v>1.7814540739138099E-4</v>
      </c>
      <c r="AI34" s="138">
        <v>6.7163440656192496E-3</v>
      </c>
      <c r="AJ34" s="138">
        <v>2.25118012751477</v>
      </c>
      <c r="AK34" s="138">
        <v>2.9168462463781099E-2</v>
      </c>
      <c r="AL34" s="138">
        <v>0</v>
      </c>
      <c r="AM34" s="138">
        <v>2.2803485899785501</v>
      </c>
      <c r="AN34" s="138">
        <v>3.3496217649554201E-5</v>
      </c>
      <c r="AO34" s="138">
        <v>5.86124014664402E-8</v>
      </c>
      <c r="AP34" s="138">
        <v>0</v>
      </c>
      <c r="AQ34" s="138">
        <v>3.3554830051020699E-5</v>
      </c>
      <c r="AR34" s="138">
        <v>5.72913952173512E-5</v>
      </c>
      <c r="AS34" s="138">
        <v>9.8254742797757396E-5</v>
      </c>
      <c r="AT34" s="138">
        <v>1.8910096806612901E-4</v>
      </c>
      <c r="AU34" s="138">
        <v>3.2047186101334098E-5</v>
      </c>
      <c r="AV34" s="138">
        <v>5.6076854924129502E-8</v>
      </c>
      <c r="AW34" s="138">
        <v>0</v>
      </c>
      <c r="AX34" s="138">
        <v>3.2103262956258202E-5</v>
      </c>
      <c r="AY34" s="138">
        <v>1.43228488043378E-5</v>
      </c>
      <c r="AZ34" s="138">
        <v>4.2109175484753098E-5</v>
      </c>
      <c r="BA34" s="138">
        <v>8.8535287245349202E-5</v>
      </c>
      <c r="BB34" s="138">
        <v>2.1268033607027599E-5</v>
      </c>
      <c r="BC34" s="138">
        <v>2.7556917030441001E-7</v>
      </c>
      <c r="BD34" s="138">
        <v>0</v>
      </c>
      <c r="BE34" s="138">
        <v>2.1543602777331999E-5</v>
      </c>
      <c r="BF34" s="138">
        <v>3.5385416651623701E-4</v>
      </c>
      <c r="BG34" s="138">
        <v>4.5848761045504999E-6</v>
      </c>
      <c r="BH34" s="138">
        <v>0</v>
      </c>
      <c r="BI34" s="138">
        <v>3.5843904262078798E-4</v>
      </c>
      <c r="BJ34" s="140">
        <v>0.20323157679996201</v>
      </c>
    </row>
    <row r="35" spans="1:62">
      <c r="A35" s="134" t="s">
        <v>264</v>
      </c>
      <c r="B35" s="135">
        <v>2030</v>
      </c>
      <c r="C35" s="135" t="s">
        <v>157</v>
      </c>
      <c r="D35" s="135" t="s">
        <v>131</v>
      </c>
      <c r="E35" s="135" t="s">
        <v>131</v>
      </c>
      <c r="F35" s="135" t="s">
        <v>146</v>
      </c>
      <c r="G35" s="135">
        <v>103.00333003158001</v>
      </c>
      <c r="H35" s="138">
        <v>18460.0869451504</v>
      </c>
      <c r="I35" s="138">
        <v>1503.8486184610699</v>
      </c>
      <c r="J35" s="138">
        <v>3.7986379060660902E-4</v>
      </c>
      <c r="K35" s="138">
        <v>1.47039698365653E-3</v>
      </c>
      <c r="L35" s="138">
        <v>0</v>
      </c>
      <c r="M35" s="138">
        <v>1.85026077426314E-3</v>
      </c>
      <c r="N35" s="138">
        <v>0</v>
      </c>
      <c r="O35" s="138">
        <v>0</v>
      </c>
      <c r="P35" s="138">
        <v>0</v>
      </c>
      <c r="Q35" s="138">
        <v>0</v>
      </c>
      <c r="R35" s="138">
        <v>1.85026077426314E-3</v>
      </c>
      <c r="S35" s="138">
        <v>4.3244600988435599E-4</v>
      </c>
      <c r="T35" s="138">
        <v>1.67393503737967E-3</v>
      </c>
      <c r="U35" s="138">
        <v>0</v>
      </c>
      <c r="V35" s="138">
        <v>2.10638104726403E-3</v>
      </c>
      <c r="W35" s="138">
        <v>0</v>
      </c>
      <c r="X35" s="138">
        <v>0</v>
      </c>
      <c r="Y35" s="138">
        <v>0</v>
      </c>
      <c r="Z35" s="138">
        <v>0</v>
      </c>
      <c r="AA35" s="138">
        <v>2.10638104726403E-3</v>
      </c>
      <c r="AB35" s="138">
        <v>3.5300092590169899E-3</v>
      </c>
      <c r="AC35" s="138">
        <v>2.17263207053718E-2</v>
      </c>
      <c r="AD35" s="138">
        <v>0</v>
      </c>
      <c r="AE35" s="138">
        <v>2.5256329964388799E-2</v>
      </c>
      <c r="AF35" s="138">
        <v>3.7954387163748098E-2</v>
      </c>
      <c r="AG35" s="138">
        <v>1.7375588297438099E-2</v>
      </c>
      <c r="AH35" s="138">
        <v>3.70039059521831E-3</v>
      </c>
      <c r="AI35" s="138">
        <v>5.90303660564045E-2</v>
      </c>
      <c r="AJ35" s="138">
        <v>20.7115205728661</v>
      </c>
      <c r="AK35" s="138">
        <v>3.0098710185092501</v>
      </c>
      <c r="AL35" s="138">
        <v>0</v>
      </c>
      <c r="AM35" s="138">
        <v>23.721391591375401</v>
      </c>
      <c r="AN35" s="138">
        <v>4.9547488564015299E-4</v>
      </c>
      <c r="AO35" s="138">
        <v>6.25775095355657E-6</v>
      </c>
      <c r="AP35" s="138">
        <v>0</v>
      </c>
      <c r="AQ35" s="138">
        <v>5.0173263659370902E-4</v>
      </c>
      <c r="AR35" s="138">
        <v>7.3255545505032898E-4</v>
      </c>
      <c r="AS35" s="138">
        <v>1.25633260541131E-3</v>
      </c>
      <c r="AT35" s="138">
        <v>2.4906206970553499E-3</v>
      </c>
      <c r="AU35" s="138">
        <v>4.7404086141225799E-4</v>
      </c>
      <c r="AV35" s="138">
        <v>5.9870434173363101E-6</v>
      </c>
      <c r="AW35" s="138">
        <v>0</v>
      </c>
      <c r="AX35" s="138">
        <v>4.8002790482959499E-4</v>
      </c>
      <c r="AY35" s="138">
        <v>1.83138863762582E-4</v>
      </c>
      <c r="AZ35" s="138">
        <v>5.3842825946199104E-4</v>
      </c>
      <c r="BA35" s="138">
        <v>1.2015950280541601E-3</v>
      </c>
      <c r="BB35" s="138">
        <v>1.9567217665636099E-4</v>
      </c>
      <c r="BC35" s="138">
        <v>2.84357689516132E-5</v>
      </c>
      <c r="BD35" s="138">
        <v>0</v>
      </c>
      <c r="BE35" s="138">
        <v>2.2410794560797501E-4</v>
      </c>
      <c r="BF35" s="138">
        <v>3.2555626091485801E-3</v>
      </c>
      <c r="BG35" s="138">
        <v>4.7310980918783901E-4</v>
      </c>
      <c r="BH35" s="138">
        <v>0</v>
      </c>
      <c r="BI35" s="138">
        <v>3.7286724183364199E-3</v>
      </c>
      <c r="BJ35" s="140">
        <v>2.1141223048928302</v>
      </c>
    </row>
    <row r="36" spans="1:62">
      <c r="A36" s="134" t="s">
        <v>264</v>
      </c>
      <c r="B36" s="135">
        <v>2030</v>
      </c>
      <c r="C36" s="135" t="s">
        <v>156</v>
      </c>
      <c r="D36" s="135" t="s">
        <v>131</v>
      </c>
      <c r="E36" s="135" t="s">
        <v>131</v>
      </c>
      <c r="F36" s="135" t="s">
        <v>146</v>
      </c>
      <c r="G36" s="135">
        <v>30.126149801393499</v>
      </c>
      <c r="H36" s="138">
        <v>5935.5488035819299</v>
      </c>
      <c r="I36" s="138">
        <v>439.84178710034502</v>
      </c>
      <c r="J36" s="138">
        <v>1.3236430490420599E-4</v>
      </c>
      <c r="K36" s="138">
        <v>4.3005793874404199E-4</v>
      </c>
      <c r="L36" s="138">
        <v>0</v>
      </c>
      <c r="M36" s="138">
        <v>5.6242224364824798E-4</v>
      </c>
      <c r="N36" s="138">
        <v>0</v>
      </c>
      <c r="O36" s="138">
        <v>0</v>
      </c>
      <c r="P36" s="138">
        <v>0</v>
      </c>
      <c r="Q36" s="138">
        <v>0</v>
      </c>
      <c r="R36" s="138">
        <v>5.6242224364824798E-4</v>
      </c>
      <c r="S36" s="138">
        <v>1.5068668539197199E-4</v>
      </c>
      <c r="T36" s="138">
        <v>4.8958822669558201E-4</v>
      </c>
      <c r="U36" s="138">
        <v>0</v>
      </c>
      <c r="V36" s="138">
        <v>6.4027491208755395E-4</v>
      </c>
      <c r="W36" s="138">
        <v>0</v>
      </c>
      <c r="X36" s="138">
        <v>0</v>
      </c>
      <c r="Y36" s="138">
        <v>0</v>
      </c>
      <c r="Z36" s="138">
        <v>0</v>
      </c>
      <c r="AA36" s="138">
        <v>6.4027491208755395E-4</v>
      </c>
      <c r="AB36" s="138">
        <v>1.23003856682674E-3</v>
      </c>
      <c r="AC36" s="138">
        <v>6.3544585597618301E-3</v>
      </c>
      <c r="AD36" s="138">
        <v>0</v>
      </c>
      <c r="AE36" s="138">
        <v>7.5844971265885703E-3</v>
      </c>
      <c r="AF36" s="138">
        <v>1.3812518322973E-2</v>
      </c>
      <c r="AG36" s="138">
        <v>5.0819675031425699E-3</v>
      </c>
      <c r="AH36" s="138">
        <v>1.0816904142083501E-3</v>
      </c>
      <c r="AI36" s="138">
        <v>1.9976176240323901E-2</v>
      </c>
      <c r="AJ36" s="138">
        <v>7.0731567865729499</v>
      </c>
      <c r="AK36" s="138">
        <v>0.93163019552011905</v>
      </c>
      <c r="AL36" s="138">
        <v>0</v>
      </c>
      <c r="AM36" s="138">
        <v>8.0047869820930693</v>
      </c>
      <c r="AN36" s="138">
        <v>1.88075656502889E-4</v>
      </c>
      <c r="AO36" s="138">
        <v>1.8302509500310099E-6</v>
      </c>
      <c r="AP36" s="138">
        <v>0</v>
      </c>
      <c r="AQ36" s="138">
        <v>1.8990590745292E-4</v>
      </c>
      <c r="AR36" s="138">
        <v>2.35541612978354E-4</v>
      </c>
      <c r="AS36" s="138">
        <v>4.0395386625787801E-4</v>
      </c>
      <c r="AT36" s="138">
        <v>8.2940138668915304E-4</v>
      </c>
      <c r="AU36" s="138">
        <v>1.7993958685537899E-4</v>
      </c>
      <c r="AV36" s="138">
        <v>1.75107510410411E-6</v>
      </c>
      <c r="AW36" s="138">
        <v>0</v>
      </c>
      <c r="AX36" s="138">
        <v>1.81690661959483E-4</v>
      </c>
      <c r="AY36" s="138">
        <v>5.8885403244588697E-5</v>
      </c>
      <c r="AZ36" s="138">
        <v>1.7312308553908999E-4</v>
      </c>
      <c r="BA36" s="138">
        <v>4.1369915074316303E-4</v>
      </c>
      <c r="BB36" s="138">
        <v>6.6823678125961994E-5</v>
      </c>
      <c r="BC36" s="138">
        <v>8.8015801425528608E-6</v>
      </c>
      <c r="BD36" s="138">
        <v>0</v>
      </c>
      <c r="BE36" s="138">
        <v>7.5625258268514805E-5</v>
      </c>
      <c r="BF36" s="138">
        <v>1.11180174734152E-3</v>
      </c>
      <c r="BG36" s="138">
        <v>1.46439293021418E-4</v>
      </c>
      <c r="BH36" s="138">
        <v>0</v>
      </c>
      <c r="BI36" s="138">
        <v>1.25824104036294E-3</v>
      </c>
      <c r="BJ36" s="140">
        <v>0.71341087387603397</v>
      </c>
    </row>
    <row r="37" spans="1:62">
      <c r="A37" s="134" t="s">
        <v>264</v>
      </c>
      <c r="B37" s="135">
        <v>2030</v>
      </c>
      <c r="C37" s="135" t="s">
        <v>155</v>
      </c>
      <c r="D37" s="135" t="s">
        <v>131</v>
      </c>
      <c r="E37" s="135" t="s">
        <v>131</v>
      </c>
      <c r="F37" s="135" t="s">
        <v>146</v>
      </c>
      <c r="G37" s="135">
        <v>9.2587348743226308</v>
      </c>
      <c r="H37" s="138">
        <v>1633.36413982864</v>
      </c>
      <c r="I37" s="138">
        <v>70.366385044851896</v>
      </c>
      <c r="J37" s="138">
        <v>5.07421469019703E-5</v>
      </c>
      <c r="K37" s="138">
        <v>1.67582295194838E-5</v>
      </c>
      <c r="L37" s="138">
        <v>0</v>
      </c>
      <c r="M37" s="138">
        <v>6.7500376421454093E-5</v>
      </c>
      <c r="N37" s="138">
        <v>0</v>
      </c>
      <c r="O37" s="138">
        <v>0</v>
      </c>
      <c r="P37" s="138">
        <v>0</v>
      </c>
      <c r="Q37" s="138">
        <v>0</v>
      </c>
      <c r="R37" s="138">
        <v>6.7500376421454093E-5</v>
      </c>
      <c r="S37" s="138">
        <v>5.7766071690280003E-5</v>
      </c>
      <c r="T37" s="138">
        <v>1.9077968649905001E-5</v>
      </c>
      <c r="U37" s="138">
        <v>0</v>
      </c>
      <c r="V37" s="138">
        <v>7.6844040340185102E-5</v>
      </c>
      <c r="W37" s="138">
        <v>0</v>
      </c>
      <c r="X37" s="138">
        <v>0</v>
      </c>
      <c r="Y37" s="138">
        <v>0</v>
      </c>
      <c r="Z37" s="138">
        <v>0</v>
      </c>
      <c r="AA37" s="138">
        <v>7.6844040340185102E-5</v>
      </c>
      <c r="AB37" s="138">
        <v>7.2436837180448897E-4</v>
      </c>
      <c r="AC37" s="138">
        <v>2.4761657772795199E-4</v>
      </c>
      <c r="AD37" s="138">
        <v>0</v>
      </c>
      <c r="AE37" s="138">
        <v>9.71984949532442E-4</v>
      </c>
      <c r="AF37" s="138">
        <v>6.8515658279495999E-3</v>
      </c>
      <c r="AG37" s="138">
        <v>1.9803093991693199E-4</v>
      </c>
      <c r="AH37" s="138">
        <v>1.3849334966774E-4</v>
      </c>
      <c r="AI37" s="138">
        <v>7.1880901175342699E-3</v>
      </c>
      <c r="AJ37" s="138">
        <v>2.4084295967797398</v>
      </c>
      <c r="AK37" s="138">
        <v>3.6256029062894497E-2</v>
      </c>
      <c r="AL37" s="138">
        <v>0</v>
      </c>
      <c r="AM37" s="138">
        <v>2.4446856258426299</v>
      </c>
      <c r="AN37" s="138">
        <v>2.6689617219380899E-5</v>
      </c>
      <c r="AO37" s="138">
        <v>7.1320077449210696E-8</v>
      </c>
      <c r="AP37" s="138">
        <v>0</v>
      </c>
      <c r="AQ37" s="138">
        <v>2.67609372968301E-5</v>
      </c>
      <c r="AR37" s="138">
        <v>6.4817127582890297E-5</v>
      </c>
      <c r="AS37" s="138">
        <v>1.11161373804657E-4</v>
      </c>
      <c r="AT37" s="138">
        <v>2.02739438684377E-4</v>
      </c>
      <c r="AU37" s="138">
        <v>2.5535036192787999E-5</v>
      </c>
      <c r="AV37" s="138">
        <v>6.8234802469013497E-8</v>
      </c>
      <c r="AW37" s="138">
        <v>0</v>
      </c>
      <c r="AX37" s="138">
        <v>2.5603270995256998E-5</v>
      </c>
      <c r="AY37" s="138">
        <v>1.62042818957225E-5</v>
      </c>
      <c r="AZ37" s="138">
        <v>4.7640588773424401E-5</v>
      </c>
      <c r="BA37" s="138">
        <v>8.9448141664404005E-5</v>
      </c>
      <c r="BB37" s="138">
        <v>2.27536486211876E-5</v>
      </c>
      <c r="BC37" s="138">
        <v>3.4252898519421201E-7</v>
      </c>
      <c r="BD37" s="138">
        <v>0</v>
      </c>
      <c r="BE37" s="138">
        <v>2.3096177606381801E-5</v>
      </c>
      <c r="BF37" s="138">
        <v>3.7857159325689702E-4</v>
      </c>
      <c r="BG37" s="138">
        <v>5.6989428737549204E-6</v>
      </c>
      <c r="BH37" s="138">
        <v>0</v>
      </c>
      <c r="BI37" s="138">
        <v>3.84270536130652E-4</v>
      </c>
      <c r="BJ37" s="140">
        <v>0.21787779144980299</v>
      </c>
    </row>
    <row r="38" spans="1:62">
      <c r="A38" s="134" t="s">
        <v>264</v>
      </c>
      <c r="B38" s="135">
        <v>2030</v>
      </c>
      <c r="C38" s="135" t="s">
        <v>154</v>
      </c>
      <c r="D38" s="135" t="s">
        <v>131</v>
      </c>
      <c r="E38" s="135" t="s">
        <v>131</v>
      </c>
      <c r="F38" s="135" t="s">
        <v>146</v>
      </c>
      <c r="G38" s="135">
        <v>80.182969606012705</v>
      </c>
      <c r="H38" s="138">
        <v>12081.2266402066</v>
      </c>
      <c r="I38" s="138">
        <v>609.39056900569699</v>
      </c>
      <c r="J38" s="138">
        <v>3.7987280806321602E-4</v>
      </c>
      <c r="K38" s="138">
        <v>2.3172734914541799E-4</v>
      </c>
      <c r="L38" s="138">
        <v>0</v>
      </c>
      <c r="M38" s="138">
        <v>6.1160015720863501E-4</v>
      </c>
      <c r="N38" s="138">
        <v>0</v>
      </c>
      <c r="O38" s="138">
        <v>0</v>
      </c>
      <c r="P38" s="138">
        <v>0</v>
      </c>
      <c r="Q38" s="138">
        <v>0</v>
      </c>
      <c r="R38" s="138">
        <v>6.1160015720863501E-4</v>
      </c>
      <c r="S38" s="138">
        <v>4.3245627557228299E-4</v>
      </c>
      <c r="T38" s="138">
        <v>2.63803947617616E-4</v>
      </c>
      <c r="U38" s="138">
        <v>0</v>
      </c>
      <c r="V38" s="138">
        <v>6.9626022318990002E-4</v>
      </c>
      <c r="W38" s="138">
        <v>0</v>
      </c>
      <c r="X38" s="138">
        <v>0</v>
      </c>
      <c r="Y38" s="138">
        <v>0</v>
      </c>
      <c r="Z38" s="138">
        <v>0</v>
      </c>
      <c r="AA38" s="138">
        <v>6.9626022318990002E-4</v>
      </c>
      <c r="AB38" s="138">
        <v>5.4228668237885098E-3</v>
      </c>
      <c r="AC38" s="138">
        <v>3.4239615285521102E-3</v>
      </c>
      <c r="AD38" s="138">
        <v>0</v>
      </c>
      <c r="AE38" s="138">
        <v>8.8468283523406195E-3</v>
      </c>
      <c r="AF38" s="138">
        <v>5.1545549263800797E-2</v>
      </c>
      <c r="AG38" s="138">
        <v>2.7383074508183398E-3</v>
      </c>
      <c r="AH38" s="138">
        <v>1.19937327263149E-3</v>
      </c>
      <c r="AI38" s="138">
        <v>5.5483229987250603E-2</v>
      </c>
      <c r="AJ38" s="138">
        <v>18.136262131244202</v>
      </c>
      <c r="AK38" s="138">
        <v>0.50263324200398896</v>
      </c>
      <c r="AL38" s="138">
        <v>0</v>
      </c>
      <c r="AM38" s="138">
        <v>18.6388953732482</v>
      </c>
      <c r="AN38" s="138">
        <v>2.0202043867937201E-4</v>
      </c>
      <c r="AO38" s="138">
        <v>9.8619084247156294E-7</v>
      </c>
      <c r="AP38" s="138">
        <v>0</v>
      </c>
      <c r="AQ38" s="138">
        <v>2.0300662952184401E-4</v>
      </c>
      <c r="AR38" s="138">
        <v>4.7942181991226699E-4</v>
      </c>
      <c r="AS38" s="138">
        <v>8.2220842114953902E-4</v>
      </c>
      <c r="AT38" s="138">
        <v>1.50463687058365E-3</v>
      </c>
      <c r="AU38" s="138">
        <v>1.9328112392764899E-4</v>
      </c>
      <c r="AV38" s="138">
        <v>9.4352866316947303E-7</v>
      </c>
      <c r="AW38" s="138">
        <v>0</v>
      </c>
      <c r="AX38" s="138">
        <v>1.9422465259081901E-4</v>
      </c>
      <c r="AY38" s="138">
        <v>1.19855454978066E-4</v>
      </c>
      <c r="AZ38" s="138">
        <v>3.52375037635516E-4</v>
      </c>
      <c r="BA38" s="138">
        <v>6.6645514520440204E-4</v>
      </c>
      <c r="BB38" s="138">
        <v>1.7134241183045101E-4</v>
      </c>
      <c r="BC38" s="138">
        <v>4.7486296419787203E-6</v>
      </c>
      <c r="BD38" s="138">
        <v>0</v>
      </c>
      <c r="BE38" s="138">
        <v>1.7609104147243E-4</v>
      </c>
      <c r="BF38" s="138">
        <v>2.8507678447109502E-3</v>
      </c>
      <c r="BG38" s="138">
        <v>7.9006946063008094E-5</v>
      </c>
      <c r="BH38" s="138">
        <v>0</v>
      </c>
      <c r="BI38" s="138">
        <v>2.9297747907739602E-3</v>
      </c>
      <c r="BJ38" s="140">
        <v>1.6611548397301701</v>
      </c>
    </row>
    <row r="39" spans="1:62">
      <c r="A39" s="134" t="s">
        <v>264</v>
      </c>
      <c r="B39" s="135">
        <v>2030</v>
      </c>
      <c r="C39" s="135" t="s">
        <v>153</v>
      </c>
      <c r="D39" s="135" t="s">
        <v>131</v>
      </c>
      <c r="E39" s="135" t="s">
        <v>131</v>
      </c>
      <c r="F39" s="135" t="s">
        <v>146</v>
      </c>
      <c r="G39" s="135">
        <v>247.59538788856</v>
      </c>
      <c r="H39" s="138">
        <v>5019.1316984498899</v>
      </c>
      <c r="I39" s="138">
        <v>751.03934251092505</v>
      </c>
      <c r="J39" s="138">
        <v>5.8556323745333205E-4</v>
      </c>
      <c r="K39" s="138">
        <v>3.0412083396981401E-4</v>
      </c>
      <c r="L39" s="138">
        <v>0</v>
      </c>
      <c r="M39" s="138">
        <v>8.8968407142314698E-4</v>
      </c>
      <c r="N39" s="138">
        <v>0</v>
      </c>
      <c r="O39" s="138">
        <v>0</v>
      </c>
      <c r="P39" s="138">
        <v>0</v>
      </c>
      <c r="Q39" s="138">
        <v>0</v>
      </c>
      <c r="R39" s="138">
        <v>8.8968407142314698E-4</v>
      </c>
      <c r="S39" s="138">
        <v>6.6661917201237301E-4</v>
      </c>
      <c r="T39" s="138">
        <v>3.4621841940483402E-4</v>
      </c>
      <c r="U39" s="138">
        <v>0</v>
      </c>
      <c r="V39" s="138">
        <v>1.0128375914172001E-3</v>
      </c>
      <c r="W39" s="138">
        <v>0</v>
      </c>
      <c r="X39" s="138">
        <v>0</v>
      </c>
      <c r="Y39" s="138">
        <v>0</v>
      </c>
      <c r="Z39" s="138">
        <v>0</v>
      </c>
      <c r="AA39" s="138">
        <v>1.0128375914172001E-3</v>
      </c>
      <c r="AB39" s="138">
        <v>2.2854583162721701E-3</v>
      </c>
      <c r="AC39" s="138">
        <v>3.4527416893763499E-3</v>
      </c>
      <c r="AD39" s="138">
        <v>0</v>
      </c>
      <c r="AE39" s="138">
        <v>5.7382000056485196E-3</v>
      </c>
      <c r="AF39" s="138">
        <v>4.1341559228120203E-2</v>
      </c>
      <c r="AG39" s="138">
        <v>7.7049882344094704E-3</v>
      </c>
      <c r="AH39" s="138">
        <v>2.7593571708151399E-3</v>
      </c>
      <c r="AI39" s="138">
        <v>5.18059046333448E-2</v>
      </c>
      <c r="AJ39" s="138">
        <v>8.9998247693055706</v>
      </c>
      <c r="AK39" s="138">
        <v>0.83192397665842299</v>
      </c>
      <c r="AL39" s="138">
        <v>0</v>
      </c>
      <c r="AM39" s="138">
        <v>9.8317487459639903</v>
      </c>
      <c r="AN39" s="138">
        <v>2.22876508953649E-4</v>
      </c>
      <c r="AO39" s="138">
        <v>1.23876660385182E-5</v>
      </c>
      <c r="AP39" s="138">
        <v>0</v>
      </c>
      <c r="AQ39" s="138">
        <v>2.35264174992167E-4</v>
      </c>
      <c r="AR39" s="138">
        <v>1.99175243119936E-4</v>
      </c>
      <c r="AS39" s="138">
        <v>3.4158554195068999E-4</v>
      </c>
      <c r="AT39" s="138">
        <v>7.7602496006279505E-4</v>
      </c>
      <c r="AU39" s="138">
        <v>2.13234969833924E-4</v>
      </c>
      <c r="AV39" s="138">
        <v>1.18517810891658E-5</v>
      </c>
      <c r="AW39" s="138">
        <v>0</v>
      </c>
      <c r="AX39" s="138">
        <v>2.2508675092309001E-4</v>
      </c>
      <c r="AY39" s="138">
        <v>4.9793810779983999E-5</v>
      </c>
      <c r="AZ39" s="138">
        <v>1.46393803693153E-4</v>
      </c>
      <c r="BA39" s="138">
        <v>4.2127436539622702E-4</v>
      </c>
      <c r="BB39" s="138">
        <v>8.5025881897002697E-5</v>
      </c>
      <c r="BC39" s="138">
        <v>7.8596052256361792E-6</v>
      </c>
      <c r="BD39" s="138">
        <v>0</v>
      </c>
      <c r="BE39" s="138">
        <v>9.28854871226389E-5</v>
      </c>
      <c r="BF39" s="138">
        <v>1.4146471237956901E-3</v>
      </c>
      <c r="BG39" s="138">
        <v>1.3076686390721E-4</v>
      </c>
      <c r="BH39" s="138">
        <v>0</v>
      </c>
      <c r="BI39" s="138">
        <v>1.5454139877029E-3</v>
      </c>
      <c r="BJ39" s="140">
        <v>0.87623524277141396</v>
      </c>
    </row>
    <row r="40" spans="1:62">
      <c r="A40" s="134" t="s">
        <v>264</v>
      </c>
      <c r="B40" s="135">
        <v>2030</v>
      </c>
      <c r="C40" s="135" t="s">
        <v>152</v>
      </c>
      <c r="D40" s="135" t="s">
        <v>131</v>
      </c>
      <c r="E40" s="135" t="s">
        <v>131</v>
      </c>
      <c r="F40" s="135" t="s">
        <v>146</v>
      </c>
      <c r="G40" s="135">
        <v>235.92796098394501</v>
      </c>
      <c r="H40" s="138">
        <v>15381.2530636312</v>
      </c>
      <c r="I40" s="138">
        <v>2722.5759595877898</v>
      </c>
      <c r="J40" s="138">
        <v>3.1822222582438198E-4</v>
      </c>
      <c r="K40" s="138">
        <v>5.6853126760405799E-4</v>
      </c>
      <c r="L40" s="138">
        <v>0</v>
      </c>
      <c r="M40" s="138">
        <v>8.8675349342844003E-4</v>
      </c>
      <c r="N40" s="138">
        <v>0</v>
      </c>
      <c r="O40" s="138">
        <v>0</v>
      </c>
      <c r="P40" s="138">
        <v>0</v>
      </c>
      <c r="Q40" s="138">
        <v>0</v>
      </c>
      <c r="R40" s="138">
        <v>8.8675349342844003E-4</v>
      </c>
      <c r="S40" s="138">
        <v>3.6227178061513802E-4</v>
      </c>
      <c r="T40" s="138">
        <v>6.4722957083446697E-4</v>
      </c>
      <c r="U40" s="138">
        <v>0</v>
      </c>
      <c r="V40" s="138">
        <v>1.0095013514496E-3</v>
      </c>
      <c r="W40" s="138">
        <v>0</v>
      </c>
      <c r="X40" s="138">
        <v>0</v>
      </c>
      <c r="Y40" s="138">
        <v>0</v>
      </c>
      <c r="Z40" s="138">
        <v>0</v>
      </c>
      <c r="AA40" s="138">
        <v>1.0095013514496E-3</v>
      </c>
      <c r="AB40" s="138">
        <v>3.8908468676045402E-3</v>
      </c>
      <c r="AC40" s="138">
        <v>8.4005154990733199E-3</v>
      </c>
      <c r="AD40" s="138">
        <v>0</v>
      </c>
      <c r="AE40" s="138">
        <v>1.2291362366677799E-2</v>
      </c>
      <c r="AF40" s="138">
        <v>3.9745150879439702E-2</v>
      </c>
      <c r="AG40" s="138">
        <v>6.7182980854211703E-3</v>
      </c>
      <c r="AH40" s="138">
        <v>1.0791882994150801E-2</v>
      </c>
      <c r="AI40" s="138">
        <v>5.7255331959011703E-2</v>
      </c>
      <c r="AJ40" s="138">
        <v>23.7134840787695</v>
      </c>
      <c r="AK40" s="138">
        <v>1.38977521794666</v>
      </c>
      <c r="AL40" s="138">
        <v>0</v>
      </c>
      <c r="AM40" s="138">
        <v>25.1032592967162</v>
      </c>
      <c r="AN40" s="138">
        <v>2.4235741082947199E-4</v>
      </c>
      <c r="AO40" s="138">
        <v>2.4195690833973201E-6</v>
      </c>
      <c r="AP40" s="138">
        <v>0</v>
      </c>
      <c r="AQ40" s="138">
        <v>2.4477697991287002E-4</v>
      </c>
      <c r="AR40" s="138">
        <v>6.1037745221632098E-4</v>
      </c>
      <c r="AS40" s="138">
        <v>1.0467973305509899E-3</v>
      </c>
      <c r="AT40" s="138">
        <v>1.9019517626801799E-3</v>
      </c>
      <c r="AU40" s="138">
        <v>2.3187313651793599E-4</v>
      </c>
      <c r="AV40" s="138">
        <v>2.3148995958861701E-6</v>
      </c>
      <c r="AW40" s="138">
        <v>0</v>
      </c>
      <c r="AX40" s="138">
        <v>2.34188036113822E-4</v>
      </c>
      <c r="AY40" s="138">
        <v>1.5259436305408E-4</v>
      </c>
      <c r="AZ40" s="138">
        <v>4.4862742737899499E-4</v>
      </c>
      <c r="BA40" s="138">
        <v>8.3540982654689805E-4</v>
      </c>
      <c r="BB40" s="138">
        <v>2.2403323934977999E-4</v>
      </c>
      <c r="BC40" s="138">
        <v>1.3129907145251201E-5</v>
      </c>
      <c r="BD40" s="138">
        <v>0</v>
      </c>
      <c r="BE40" s="138">
        <v>2.3716314649503101E-4</v>
      </c>
      <c r="BF40" s="138">
        <v>3.7274294674733799E-3</v>
      </c>
      <c r="BG40" s="138">
        <v>2.1845331050178701E-4</v>
      </c>
      <c r="BH40" s="138">
        <v>0</v>
      </c>
      <c r="BI40" s="138">
        <v>3.9458827779751699E-3</v>
      </c>
      <c r="BJ40" s="140">
        <v>2.2372785424608801</v>
      </c>
    </row>
    <row r="41" spans="1:62">
      <c r="A41" s="134" t="s">
        <v>264</v>
      </c>
      <c r="B41" s="135">
        <v>2030</v>
      </c>
      <c r="C41" s="135" t="s">
        <v>151</v>
      </c>
      <c r="D41" s="135" t="s">
        <v>131</v>
      </c>
      <c r="E41" s="135" t="s">
        <v>131</v>
      </c>
      <c r="F41" s="135" t="s">
        <v>146</v>
      </c>
      <c r="G41" s="135">
        <v>50.394570562479103</v>
      </c>
      <c r="H41" s="138">
        <v>3581.6009834834199</v>
      </c>
      <c r="I41" s="138">
        <v>227.83189417656899</v>
      </c>
      <c r="J41" s="138">
        <v>1.38737119909944E-4</v>
      </c>
      <c r="K41" s="138">
        <v>8.82250233391826E-5</v>
      </c>
      <c r="L41" s="138">
        <v>0</v>
      </c>
      <c r="M41" s="138">
        <v>2.2696214324912701E-4</v>
      </c>
      <c r="N41" s="138">
        <v>0</v>
      </c>
      <c r="O41" s="138">
        <v>0</v>
      </c>
      <c r="P41" s="138">
        <v>0</v>
      </c>
      <c r="Q41" s="138">
        <v>0</v>
      </c>
      <c r="R41" s="138">
        <v>2.2696214324912701E-4</v>
      </c>
      <c r="S41" s="138">
        <v>1.5794165016911501E-4</v>
      </c>
      <c r="T41" s="138">
        <v>1.00437473269187E-4</v>
      </c>
      <c r="U41" s="138">
        <v>0</v>
      </c>
      <c r="V41" s="138">
        <v>2.5837912343830302E-4</v>
      </c>
      <c r="W41" s="138">
        <v>0</v>
      </c>
      <c r="X41" s="138">
        <v>0</v>
      </c>
      <c r="Y41" s="138">
        <v>0</v>
      </c>
      <c r="Z41" s="138">
        <v>0</v>
      </c>
      <c r="AA41" s="138">
        <v>2.5837912343830302E-4</v>
      </c>
      <c r="AB41" s="138">
        <v>1.70009620551897E-3</v>
      </c>
      <c r="AC41" s="138">
        <v>1.30220266294244E-3</v>
      </c>
      <c r="AD41" s="138">
        <v>0</v>
      </c>
      <c r="AE41" s="138">
        <v>3.00229886846142E-3</v>
      </c>
      <c r="AF41" s="138">
        <v>1.32475131184801E-2</v>
      </c>
      <c r="AG41" s="138">
        <v>1.0498308310502599E-3</v>
      </c>
      <c r="AH41" s="138">
        <v>1.13079870396319E-3</v>
      </c>
      <c r="AI41" s="138">
        <v>1.54281426534936E-2</v>
      </c>
      <c r="AJ41" s="138">
        <v>6.2269276877984003</v>
      </c>
      <c r="AK41" s="138">
        <v>0.20478575690820999</v>
      </c>
      <c r="AL41" s="138">
        <v>0</v>
      </c>
      <c r="AM41" s="138">
        <v>6.4317134447066104</v>
      </c>
      <c r="AN41" s="138">
        <v>6.4558101764414699E-5</v>
      </c>
      <c r="AO41" s="138">
        <v>3.9080257190556302E-7</v>
      </c>
      <c r="AP41" s="138">
        <v>0</v>
      </c>
      <c r="AQ41" s="138">
        <v>6.49489043363202E-5</v>
      </c>
      <c r="AR41" s="138">
        <v>1.4212941391122E-4</v>
      </c>
      <c r="AS41" s="138">
        <v>2.4375194485774299E-4</v>
      </c>
      <c r="AT41" s="138">
        <v>4.50830263105285E-4</v>
      </c>
      <c r="AU41" s="138">
        <v>6.1765346859112995E-5</v>
      </c>
      <c r="AV41" s="138">
        <v>3.7389662563600598E-7</v>
      </c>
      <c r="AW41" s="138">
        <v>0</v>
      </c>
      <c r="AX41" s="138">
        <v>6.2139243484749096E-5</v>
      </c>
      <c r="AY41" s="138">
        <v>3.5532353477805197E-5</v>
      </c>
      <c r="AZ41" s="138">
        <v>1.04465119224747E-4</v>
      </c>
      <c r="BA41" s="138">
        <v>2.0213671618730101E-4</v>
      </c>
      <c r="BB41" s="138">
        <v>5.8828925199704297E-5</v>
      </c>
      <c r="BC41" s="138">
        <v>1.93471428915491E-6</v>
      </c>
      <c r="BD41" s="138">
        <v>0</v>
      </c>
      <c r="BE41" s="138">
        <v>6.0763639488859199E-5</v>
      </c>
      <c r="BF41" s="138">
        <v>9.7878631744821197E-4</v>
      </c>
      <c r="BG41" s="138">
        <v>3.21894691763958E-5</v>
      </c>
      <c r="BH41" s="138">
        <v>0</v>
      </c>
      <c r="BI41" s="138">
        <v>1.0109757866246E-3</v>
      </c>
      <c r="BJ41" s="140">
        <v>0.57321379311815301</v>
      </c>
    </row>
    <row r="42" spans="1:62">
      <c r="A42" s="134" t="s">
        <v>264</v>
      </c>
      <c r="B42" s="135">
        <v>2030</v>
      </c>
      <c r="C42" s="135" t="s">
        <v>150</v>
      </c>
      <c r="D42" s="135" t="s">
        <v>131</v>
      </c>
      <c r="E42" s="135" t="s">
        <v>131</v>
      </c>
      <c r="F42" s="135" t="s">
        <v>146</v>
      </c>
      <c r="G42" s="135">
        <v>72.437191539979594</v>
      </c>
      <c r="H42" s="138">
        <v>2959.6662804488001</v>
      </c>
      <c r="I42" s="138">
        <v>282.50504700592001</v>
      </c>
      <c r="J42" s="138">
        <v>1.6973238725366099E-4</v>
      </c>
      <c r="K42" s="138">
        <v>1.05789291476509E-4</v>
      </c>
      <c r="L42" s="138">
        <v>0</v>
      </c>
      <c r="M42" s="138">
        <v>2.75521678730171E-4</v>
      </c>
      <c r="N42" s="138">
        <v>0</v>
      </c>
      <c r="O42" s="138">
        <v>0</v>
      </c>
      <c r="P42" s="138">
        <v>0</v>
      </c>
      <c r="Q42" s="138">
        <v>0</v>
      </c>
      <c r="R42" s="138">
        <v>2.75521678730171E-4</v>
      </c>
      <c r="S42" s="138">
        <v>1.93227402640242E-4</v>
      </c>
      <c r="T42" s="138">
        <v>1.20433055528809E-4</v>
      </c>
      <c r="U42" s="138">
        <v>0</v>
      </c>
      <c r="V42" s="138">
        <v>3.1366045816905202E-4</v>
      </c>
      <c r="W42" s="138">
        <v>0</v>
      </c>
      <c r="X42" s="138">
        <v>0</v>
      </c>
      <c r="Y42" s="138">
        <v>0</v>
      </c>
      <c r="Z42" s="138">
        <v>0</v>
      </c>
      <c r="AA42" s="138">
        <v>3.1366045816905202E-4</v>
      </c>
      <c r="AB42" s="138">
        <v>4.7425905355226997E-4</v>
      </c>
      <c r="AC42" s="138">
        <v>5.8471471116564499E-4</v>
      </c>
      <c r="AD42" s="138">
        <v>0</v>
      </c>
      <c r="AE42" s="138">
        <v>1.05897376471791E-3</v>
      </c>
      <c r="AF42" s="138">
        <v>2.96381067420519E-2</v>
      </c>
      <c r="AG42" s="138">
        <v>3.3716454931125E-3</v>
      </c>
      <c r="AH42" s="138">
        <v>1.8360385715984E-4</v>
      </c>
      <c r="AI42" s="138">
        <v>3.3193356092324301E-2</v>
      </c>
      <c r="AJ42" s="138">
        <v>14.0113685295183</v>
      </c>
      <c r="AK42" s="138">
        <v>0.37493294297260998</v>
      </c>
      <c r="AL42" s="138">
        <v>0</v>
      </c>
      <c r="AM42" s="138">
        <v>14.386301472490899</v>
      </c>
      <c r="AN42" s="138">
        <v>3.2120679223415099E-5</v>
      </c>
      <c r="AO42" s="138">
        <v>2.87387814186007E-6</v>
      </c>
      <c r="AP42" s="138">
        <v>0</v>
      </c>
      <c r="AQ42" s="138">
        <v>3.4994557365275201E-5</v>
      </c>
      <c r="AR42" s="138">
        <v>1.17449050230008E-4</v>
      </c>
      <c r="AS42" s="138">
        <v>2.0142512114446301E-4</v>
      </c>
      <c r="AT42" s="138">
        <v>3.5386872873974701E-4</v>
      </c>
      <c r="AU42" s="138">
        <v>3.0731152858619501E-5</v>
      </c>
      <c r="AV42" s="138">
        <v>2.7495554455824198E-6</v>
      </c>
      <c r="AW42" s="138">
        <v>0</v>
      </c>
      <c r="AX42" s="138">
        <v>3.3480708304201903E-5</v>
      </c>
      <c r="AY42" s="138">
        <v>2.9362262557502E-5</v>
      </c>
      <c r="AZ42" s="138">
        <v>8.6325051919055898E-5</v>
      </c>
      <c r="BA42" s="138">
        <v>1.49168022780759E-4</v>
      </c>
      <c r="BB42" s="138">
        <v>1.32372462391635E-4</v>
      </c>
      <c r="BC42" s="138">
        <v>3.5421805363599999E-6</v>
      </c>
      <c r="BD42" s="138">
        <v>0</v>
      </c>
      <c r="BE42" s="138">
        <v>1.35914642927995E-4</v>
      </c>
      <c r="BF42" s="138">
        <v>2.20239201304517E-3</v>
      </c>
      <c r="BG42" s="138">
        <v>5.8934237386644699E-5</v>
      </c>
      <c r="BH42" s="138">
        <v>0</v>
      </c>
      <c r="BI42" s="138">
        <v>2.2613262504318199E-3</v>
      </c>
      <c r="BJ42" s="140">
        <v>1.2821507840612401</v>
      </c>
    </row>
    <row r="43" spans="1:62">
      <c r="A43" s="134" t="s">
        <v>264</v>
      </c>
      <c r="B43" s="135">
        <v>2030</v>
      </c>
      <c r="C43" s="135" t="s">
        <v>149</v>
      </c>
      <c r="D43" s="135" t="s">
        <v>131</v>
      </c>
      <c r="E43" s="135" t="s">
        <v>131</v>
      </c>
      <c r="F43" s="135" t="s">
        <v>146</v>
      </c>
      <c r="G43" s="135">
        <v>235.27421305423599</v>
      </c>
      <c r="H43" s="138">
        <v>27940.690811904999</v>
      </c>
      <c r="I43" s="138">
        <v>2987.9825057887901</v>
      </c>
      <c r="J43" s="138">
        <v>5.7489130125083895E-4</v>
      </c>
      <c r="K43" s="138">
        <v>4.8747610807570499E-4</v>
      </c>
      <c r="L43" s="138">
        <v>0</v>
      </c>
      <c r="M43" s="138">
        <v>1.0623674093265399E-3</v>
      </c>
      <c r="N43" s="138">
        <v>0</v>
      </c>
      <c r="O43" s="138">
        <v>0</v>
      </c>
      <c r="P43" s="138">
        <v>0</v>
      </c>
      <c r="Q43" s="138">
        <v>0</v>
      </c>
      <c r="R43" s="138">
        <v>1.0623674093265399E-3</v>
      </c>
      <c r="S43" s="138">
        <v>6.5446998500737197E-4</v>
      </c>
      <c r="T43" s="138">
        <v>5.5495444173463604E-4</v>
      </c>
      <c r="U43" s="138">
        <v>0</v>
      </c>
      <c r="V43" s="138">
        <v>1.209424426742E-3</v>
      </c>
      <c r="W43" s="138">
        <v>0</v>
      </c>
      <c r="X43" s="138">
        <v>0</v>
      </c>
      <c r="Y43" s="138">
        <v>0</v>
      </c>
      <c r="Z43" s="138">
        <v>0</v>
      </c>
      <c r="AA43" s="138">
        <v>1.209424426742E-3</v>
      </c>
      <c r="AB43" s="138">
        <v>4.9744705414624304E-3</v>
      </c>
      <c r="AC43" s="138">
        <v>7.2028590768200597E-3</v>
      </c>
      <c r="AD43" s="138">
        <v>0</v>
      </c>
      <c r="AE43" s="138">
        <v>1.21773296182825E-2</v>
      </c>
      <c r="AF43" s="138">
        <v>5.8961824163832499E-2</v>
      </c>
      <c r="AG43" s="138">
        <v>5.7604743840656896E-3</v>
      </c>
      <c r="AH43" s="138">
        <v>6.1477336129569498E-3</v>
      </c>
      <c r="AI43" s="138">
        <v>7.0870032160855204E-2</v>
      </c>
      <c r="AJ43" s="138">
        <v>34.155209336797</v>
      </c>
      <c r="AK43" s="138">
        <v>1.11032390982743</v>
      </c>
      <c r="AL43" s="138">
        <v>0</v>
      </c>
      <c r="AM43" s="138">
        <v>35.2655332466244</v>
      </c>
      <c r="AN43" s="138">
        <v>8.7185805467306901E-4</v>
      </c>
      <c r="AO43" s="138">
        <v>2.0746125801760701E-6</v>
      </c>
      <c r="AP43" s="138">
        <v>0</v>
      </c>
      <c r="AQ43" s="138">
        <v>8.7393266725324496E-4</v>
      </c>
      <c r="AR43" s="138">
        <v>1.10877622261214E-3</v>
      </c>
      <c r="AS43" s="138">
        <v>1.90155122177983E-3</v>
      </c>
      <c r="AT43" s="138">
        <v>3.88426011164522E-3</v>
      </c>
      <c r="AU43" s="138">
        <v>8.3414186116105495E-4</v>
      </c>
      <c r="AV43" s="138">
        <v>1.98486575829722E-6</v>
      </c>
      <c r="AW43" s="138">
        <v>0</v>
      </c>
      <c r="AX43" s="138">
        <v>8.3612672691935205E-4</v>
      </c>
      <c r="AY43" s="138">
        <v>2.7719405565303597E-4</v>
      </c>
      <c r="AZ43" s="138">
        <v>8.1495052361992796E-4</v>
      </c>
      <c r="BA43" s="138">
        <v>1.9282713061923101E-3</v>
      </c>
      <c r="BB43" s="138">
        <v>3.2268148210423301E-4</v>
      </c>
      <c r="BC43" s="138">
        <v>1.0489789750838699E-5</v>
      </c>
      <c r="BD43" s="138">
        <v>0</v>
      </c>
      <c r="BE43" s="138">
        <v>3.3317127185507198E-4</v>
      </c>
      <c r="BF43" s="138">
        <v>5.3687232684495999E-3</v>
      </c>
      <c r="BG43" s="138">
        <v>1.7452745645404099E-4</v>
      </c>
      <c r="BH43" s="138">
        <v>0</v>
      </c>
      <c r="BI43" s="138">
        <v>5.5432507249036402E-3</v>
      </c>
      <c r="BJ43" s="140">
        <v>3.1429711930448199</v>
      </c>
    </row>
    <row r="44" spans="1:62">
      <c r="A44" s="134" t="s">
        <v>264</v>
      </c>
      <c r="B44" s="135">
        <v>2030</v>
      </c>
      <c r="C44" s="135" t="s">
        <v>148</v>
      </c>
      <c r="D44" s="135" t="s">
        <v>131</v>
      </c>
      <c r="E44" s="135" t="s">
        <v>131</v>
      </c>
      <c r="F44" s="135" t="s">
        <v>146</v>
      </c>
      <c r="G44" s="135">
        <v>42.320407471691297</v>
      </c>
      <c r="H44" s="138">
        <v>2954.5054842929098</v>
      </c>
      <c r="I44" s="138">
        <v>191.328916765857</v>
      </c>
      <c r="J44" s="138">
        <v>1.27715486951757E-4</v>
      </c>
      <c r="K44" s="138">
        <v>7.4296153586068093E-5</v>
      </c>
      <c r="L44" s="138">
        <v>0</v>
      </c>
      <c r="M44" s="138">
        <v>2.02011640537825E-4</v>
      </c>
      <c r="N44" s="138">
        <v>0</v>
      </c>
      <c r="O44" s="138">
        <v>0</v>
      </c>
      <c r="P44" s="138">
        <v>0</v>
      </c>
      <c r="Q44" s="138">
        <v>0</v>
      </c>
      <c r="R44" s="138">
        <v>2.02011640537825E-4</v>
      </c>
      <c r="S44" s="138">
        <v>1.4539436002712299E-4</v>
      </c>
      <c r="T44" s="138">
        <v>8.4580515338782695E-5</v>
      </c>
      <c r="U44" s="138">
        <v>0</v>
      </c>
      <c r="V44" s="138">
        <v>2.2997487536590601E-4</v>
      </c>
      <c r="W44" s="138">
        <v>0</v>
      </c>
      <c r="X44" s="138">
        <v>0</v>
      </c>
      <c r="Y44" s="138">
        <v>0</v>
      </c>
      <c r="Z44" s="138">
        <v>0</v>
      </c>
      <c r="AA44" s="138">
        <v>2.2997487536590601E-4</v>
      </c>
      <c r="AB44" s="138">
        <v>1.7114414637458099E-3</v>
      </c>
      <c r="AC44" s="138">
        <v>1.0972408383256799E-3</v>
      </c>
      <c r="AD44" s="138">
        <v>0</v>
      </c>
      <c r="AE44" s="138">
        <v>2.8086823020714901E-3</v>
      </c>
      <c r="AF44" s="138">
        <v>1.43088243509665E-2</v>
      </c>
      <c r="AG44" s="138">
        <v>8.8002582888697305E-4</v>
      </c>
      <c r="AH44" s="138">
        <v>9.5483153049971204E-4</v>
      </c>
      <c r="AI44" s="138">
        <v>1.61436817103532E-2</v>
      </c>
      <c r="AJ44" s="138">
        <v>5.1540398327303398</v>
      </c>
      <c r="AK44" s="138">
        <v>0.17141019189048701</v>
      </c>
      <c r="AL44" s="138">
        <v>0</v>
      </c>
      <c r="AM44" s="138">
        <v>5.3254500246208298</v>
      </c>
      <c r="AN44" s="138">
        <v>7.7519851035197406E-5</v>
      </c>
      <c r="AO44" s="138">
        <v>3.1923882850296401E-7</v>
      </c>
      <c r="AP44" s="138">
        <v>0</v>
      </c>
      <c r="AQ44" s="138">
        <v>7.7839089863700301E-5</v>
      </c>
      <c r="AR44" s="138">
        <v>1.17244253286871E-4</v>
      </c>
      <c r="AS44" s="138">
        <v>2.0107389438698501E-4</v>
      </c>
      <c r="AT44" s="138">
        <v>3.9615723753755702E-4</v>
      </c>
      <c r="AU44" s="138">
        <v>7.4166376594036901E-5</v>
      </c>
      <c r="AV44" s="138">
        <v>3.0542869809488801E-7</v>
      </c>
      <c r="AW44" s="138">
        <v>0</v>
      </c>
      <c r="AX44" s="138">
        <v>7.4471805292131805E-5</v>
      </c>
      <c r="AY44" s="138">
        <v>2.9311063321717899E-5</v>
      </c>
      <c r="AZ44" s="138">
        <v>8.6174526165850695E-5</v>
      </c>
      <c r="BA44" s="138">
        <v>1.8995739477969999E-4</v>
      </c>
      <c r="BB44" s="138">
        <v>4.86928127317296E-5</v>
      </c>
      <c r="BC44" s="138">
        <v>1.61939849999409E-6</v>
      </c>
      <c r="BD44" s="138">
        <v>0</v>
      </c>
      <c r="BE44" s="138">
        <v>5.0312211231723697E-5</v>
      </c>
      <c r="BF44" s="138">
        <v>8.1014328747458801E-4</v>
      </c>
      <c r="BG44" s="138">
        <v>2.6943295137718101E-5</v>
      </c>
      <c r="BH44" s="138">
        <v>0</v>
      </c>
      <c r="BI44" s="138">
        <v>8.3708658261230596E-4</v>
      </c>
      <c r="BJ44" s="140">
        <v>0.47462024465446601</v>
      </c>
    </row>
    <row r="45" spans="1:62">
      <c r="A45" s="134" t="s">
        <v>264</v>
      </c>
      <c r="B45" s="135">
        <v>2030</v>
      </c>
      <c r="C45" s="135" t="s">
        <v>147</v>
      </c>
      <c r="D45" s="135" t="s">
        <v>131</v>
      </c>
      <c r="E45" s="135" t="s">
        <v>131</v>
      </c>
      <c r="F45" s="135" t="s">
        <v>146</v>
      </c>
      <c r="G45" s="135">
        <v>5.5430035077660298</v>
      </c>
      <c r="H45" s="138">
        <v>112.341789973106</v>
      </c>
      <c r="I45" s="138">
        <v>63.744540339309303</v>
      </c>
      <c r="J45" s="138">
        <v>1.95367002568504E-6</v>
      </c>
      <c r="K45" s="138">
        <v>3.8825320229215303E-6</v>
      </c>
      <c r="L45" s="138">
        <v>0</v>
      </c>
      <c r="M45" s="138">
        <v>5.8362020486065704E-6</v>
      </c>
      <c r="N45" s="138">
        <v>0</v>
      </c>
      <c r="O45" s="138">
        <v>0</v>
      </c>
      <c r="P45" s="138">
        <v>0</v>
      </c>
      <c r="Q45" s="138">
        <v>0</v>
      </c>
      <c r="R45" s="138">
        <v>5.8362020486065704E-6</v>
      </c>
      <c r="S45" s="138">
        <v>2.22410460836238E-6</v>
      </c>
      <c r="T45" s="138">
        <v>4.4199671647551899E-6</v>
      </c>
      <c r="U45" s="138">
        <v>0</v>
      </c>
      <c r="V45" s="138">
        <v>6.6440717731175703E-6</v>
      </c>
      <c r="W45" s="138">
        <v>0</v>
      </c>
      <c r="X45" s="138">
        <v>0</v>
      </c>
      <c r="Y45" s="138">
        <v>0</v>
      </c>
      <c r="Z45" s="138">
        <v>0</v>
      </c>
      <c r="AA45" s="138">
        <v>6.6440717731175703E-6</v>
      </c>
      <c r="AB45" s="138">
        <v>2.54611789481827E-5</v>
      </c>
      <c r="AC45" s="138">
        <v>5.73675931169983E-5</v>
      </c>
      <c r="AD45" s="138">
        <v>0</v>
      </c>
      <c r="AE45" s="138">
        <v>8.2828772065180993E-5</v>
      </c>
      <c r="AF45" s="138">
        <v>2.2043001456761299E-4</v>
      </c>
      <c r="AG45" s="138">
        <v>4.5879635725410599E-5</v>
      </c>
      <c r="AH45" s="138">
        <v>2.31983437475892E-4</v>
      </c>
      <c r="AI45" s="138">
        <v>4.9829308776891596E-4</v>
      </c>
      <c r="AJ45" s="138">
        <v>0.178151887279384</v>
      </c>
      <c r="AK45" s="138">
        <v>9.2424981516640407E-3</v>
      </c>
      <c r="AL45" s="138">
        <v>0</v>
      </c>
      <c r="AM45" s="138">
        <v>0.187394385431048</v>
      </c>
      <c r="AN45" s="138">
        <v>8.6190753017773002E-7</v>
      </c>
      <c r="AO45" s="138">
        <v>1.6523373441798599E-8</v>
      </c>
      <c r="AP45" s="138">
        <v>0</v>
      </c>
      <c r="AQ45" s="138">
        <v>8.7843090361952901E-7</v>
      </c>
      <c r="AR45" s="138">
        <v>4.4580825279664997E-6</v>
      </c>
      <c r="AS45" s="138">
        <v>7.6456115354625606E-6</v>
      </c>
      <c r="AT45" s="138">
        <v>1.29821249670486E-5</v>
      </c>
      <c r="AU45" s="138">
        <v>8.2462179195072605E-7</v>
      </c>
      <c r="AV45" s="138">
        <v>1.5808579620875701E-8</v>
      </c>
      <c r="AW45" s="138">
        <v>0</v>
      </c>
      <c r="AX45" s="138">
        <v>8.4043037157160196E-7</v>
      </c>
      <c r="AY45" s="138">
        <v>1.1145206319916201E-6</v>
      </c>
      <c r="AZ45" s="138">
        <v>3.27669065805538E-6</v>
      </c>
      <c r="BA45" s="138">
        <v>5.2316416616186096E-6</v>
      </c>
      <c r="BB45" s="138">
        <v>1.6830906951884799E-6</v>
      </c>
      <c r="BC45" s="138">
        <v>8.7318539684999897E-8</v>
      </c>
      <c r="BD45" s="138">
        <v>0</v>
      </c>
      <c r="BE45" s="138">
        <v>1.7704092348734799E-6</v>
      </c>
      <c r="BF45" s="138">
        <v>2.8002995769216799E-5</v>
      </c>
      <c r="BG45" s="138">
        <v>1.4527920000766199E-6</v>
      </c>
      <c r="BH45" s="138">
        <v>0</v>
      </c>
      <c r="BI45" s="138">
        <v>2.94557877692934E-5</v>
      </c>
      <c r="BJ45" s="140">
        <v>1.6701155517179E-2</v>
      </c>
    </row>
    <row r="46" spans="1:62">
      <c r="A46" s="134" t="s">
        <v>264</v>
      </c>
      <c r="B46" s="135">
        <v>2030</v>
      </c>
      <c r="C46" s="135" t="s">
        <v>132</v>
      </c>
      <c r="D46" s="135" t="s">
        <v>131</v>
      </c>
      <c r="E46" s="135" t="s">
        <v>131</v>
      </c>
      <c r="F46" s="135" t="s">
        <v>146</v>
      </c>
      <c r="G46" s="135">
        <v>246.74188239051699</v>
      </c>
      <c r="H46" s="138">
        <v>19341.247991229498</v>
      </c>
      <c r="I46" s="138">
        <v>986.96752956206899</v>
      </c>
      <c r="J46" s="138">
        <v>2.2594336393359898E-5</v>
      </c>
      <c r="K46" s="138">
        <v>0</v>
      </c>
      <c r="L46" s="138">
        <v>0</v>
      </c>
      <c r="M46" s="138">
        <v>2.2594336393359898E-5</v>
      </c>
      <c r="N46" s="138">
        <v>0</v>
      </c>
      <c r="O46" s="138">
        <v>0</v>
      </c>
      <c r="P46" s="138">
        <v>0</v>
      </c>
      <c r="Q46" s="138">
        <v>0</v>
      </c>
      <c r="R46" s="138">
        <v>2.2594336393359898E-5</v>
      </c>
      <c r="S46" s="138">
        <v>1.61388117095428E-3</v>
      </c>
      <c r="T46" s="138">
        <v>0</v>
      </c>
      <c r="U46" s="138">
        <v>0</v>
      </c>
      <c r="V46" s="138">
        <v>1.61388117095428E-3</v>
      </c>
      <c r="W46" s="138">
        <v>0</v>
      </c>
      <c r="X46" s="138">
        <v>0</v>
      </c>
      <c r="Y46" s="138">
        <v>0</v>
      </c>
      <c r="Z46" s="138">
        <v>0</v>
      </c>
      <c r="AA46" s="138">
        <v>1.61388117095428E-3</v>
      </c>
      <c r="AB46" s="138">
        <v>2.67326568707994E-3</v>
      </c>
      <c r="AC46" s="138">
        <v>0</v>
      </c>
      <c r="AD46" s="138">
        <v>0</v>
      </c>
      <c r="AE46" s="138">
        <v>2.67326568707994E-3</v>
      </c>
      <c r="AF46" s="138">
        <v>1.65859212512737E-2</v>
      </c>
      <c r="AG46" s="138">
        <v>0</v>
      </c>
      <c r="AH46" s="138">
        <v>0</v>
      </c>
      <c r="AI46" s="138">
        <v>1.65859212512737E-2</v>
      </c>
      <c r="AJ46" s="138">
        <v>31.577401947844798</v>
      </c>
      <c r="AK46" s="138">
        <v>0</v>
      </c>
      <c r="AL46" s="138">
        <v>0</v>
      </c>
      <c r="AM46" s="138">
        <v>31.577401947844798</v>
      </c>
      <c r="AN46" s="138">
        <v>1.2248051743812499E-4</v>
      </c>
      <c r="AO46" s="138">
        <v>0</v>
      </c>
      <c r="AP46" s="138">
        <v>0</v>
      </c>
      <c r="AQ46" s="138">
        <v>1.2248051743812499E-4</v>
      </c>
      <c r="AR46" s="138">
        <v>6.7994858024300804E-4</v>
      </c>
      <c r="AS46" s="138">
        <v>1.5666188109995599E-3</v>
      </c>
      <c r="AT46" s="138">
        <v>2.3690479086807001E-3</v>
      </c>
      <c r="AU46" s="138">
        <v>1.1718206447047899E-4</v>
      </c>
      <c r="AV46" s="138">
        <v>0</v>
      </c>
      <c r="AW46" s="138">
        <v>0</v>
      </c>
      <c r="AX46" s="138">
        <v>1.1718206447047899E-4</v>
      </c>
      <c r="AY46" s="138">
        <v>1.6998714506075201E-4</v>
      </c>
      <c r="AZ46" s="138">
        <v>6.7140806185695702E-4</v>
      </c>
      <c r="BA46" s="138">
        <v>9.58577271388189E-4</v>
      </c>
      <c r="BB46" s="138">
        <v>2.9852000786834501E-4</v>
      </c>
      <c r="BC46" s="138">
        <v>0</v>
      </c>
      <c r="BD46" s="138">
        <v>0</v>
      </c>
      <c r="BE46" s="138">
        <v>2.9852000786834501E-4</v>
      </c>
      <c r="BF46" s="138">
        <v>4.9635278449878199E-3</v>
      </c>
      <c r="BG46" s="138">
        <v>0</v>
      </c>
      <c r="BH46" s="138">
        <v>0</v>
      </c>
      <c r="BI46" s="138">
        <v>4.9635278449878199E-3</v>
      </c>
      <c r="BJ46" s="140">
        <v>2.81427375503455</v>
      </c>
    </row>
    <row r="47" spans="1:62">
      <c r="A47" s="134" t="s">
        <v>264</v>
      </c>
      <c r="B47" s="135">
        <v>2030</v>
      </c>
      <c r="C47" s="135" t="s">
        <v>144</v>
      </c>
      <c r="D47" s="135" t="s">
        <v>131</v>
      </c>
      <c r="E47" s="135" t="s">
        <v>131</v>
      </c>
      <c r="F47" s="135" t="s">
        <v>145</v>
      </c>
      <c r="G47" s="135">
        <v>15717.8763776511</v>
      </c>
      <c r="H47" s="138">
        <v>472761.92244966503</v>
      </c>
      <c r="I47" s="138">
        <v>76806.101373678393</v>
      </c>
      <c r="J47" s="138">
        <v>0</v>
      </c>
      <c r="K47" s="138">
        <v>0</v>
      </c>
      <c r="L47" s="138">
        <v>0</v>
      </c>
      <c r="M47" s="138">
        <v>0</v>
      </c>
      <c r="N47" s="138">
        <v>2.0795511178886301E-4</v>
      </c>
      <c r="O47" s="138">
        <v>4.1384088158644302E-4</v>
      </c>
      <c r="P47" s="138">
        <v>0</v>
      </c>
      <c r="Q47" s="138">
        <v>5.41913304589898E-5</v>
      </c>
      <c r="R47" s="138">
        <v>6.7598732383429702E-4</v>
      </c>
      <c r="S47" s="138">
        <v>0</v>
      </c>
      <c r="T47" s="138">
        <v>0</v>
      </c>
      <c r="U47" s="138">
        <v>0</v>
      </c>
      <c r="V47" s="138">
        <v>0</v>
      </c>
      <c r="W47" s="138">
        <v>2.0795511178886301E-4</v>
      </c>
      <c r="X47" s="138">
        <v>4.1384088158627301E-4</v>
      </c>
      <c r="Y47" s="138">
        <v>0</v>
      </c>
      <c r="Z47" s="138">
        <v>5.41913304589898E-5</v>
      </c>
      <c r="AA47" s="138">
        <v>6.7598732383412701E-4</v>
      </c>
      <c r="AB47" s="138">
        <v>0</v>
      </c>
      <c r="AC47" s="138">
        <v>0</v>
      </c>
      <c r="AD47" s="138">
        <v>0</v>
      </c>
      <c r="AE47" s="138">
        <v>0</v>
      </c>
      <c r="AF47" s="138">
        <v>0</v>
      </c>
      <c r="AG47" s="138">
        <v>0</v>
      </c>
      <c r="AH47" s="138">
        <v>0</v>
      </c>
      <c r="AI47" s="138">
        <v>0</v>
      </c>
      <c r="AJ47" s="138">
        <v>0</v>
      </c>
      <c r="AK47" s="138">
        <v>0</v>
      </c>
      <c r="AL47" s="138">
        <v>0</v>
      </c>
      <c r="AM47" s="138">
        <v>0</v>
      </c>
      <c r="AN47" s="138">
        <v>0</v>
      </c>
      <c r="AO47" s="138">
        <v>0</v>
      </c>
      <c r="AP47" s="138">
        <v>0</v>
      </c>
      <c r="AQ47" s="138">
        <v>0</v>
      </c>
      <c r="AR47" s="138">
        <v>4.1690465159249903E-3</v>
      </c>
      <c r="AS47" s="138">
        <v>1.91515574325304E-2</v>
      </c>
      <c r="AT47" s="138">
        <v>2.33206039484554E-2</v>
      </c>
      <c r="AU47" s="138">
        <v>0</v>
      </c>
      <c r="AV47" s="138">
        <v>0</v>
      </c>
      <c r="AW47" s="138">
        <v>0</v>
      </c>
      <c r="AX47" s="138">
        <v>0</v>
      </c>
      <c r="AY47" s="138">
        <v>1.04226162898124E-3</v>
      </c>
      <c r="AZ47" s="138">
        <v>8.2078103282273301E-3</v>
      </c>
      <c r="BA47" s="138">
        <v>9.2500719572085801E-3</v>
      </c>
      <c r="BB47" s="138">
        <v>0</v>
      </c>
      <c r="BC47" s="138">
        <v>0</v>
      </c>
      <c r="BD47" s="138">
        <v>0</v>
      </c>
      <c r="BE47" s="138">
        <v>0</v>
      </c>
      <c r="BF47" s="138">
        <v>0</v>
      </c>
      <c r="BG47" s="138">
        <v>0</v>
      </c>
      <c r="BH47" s="138">
        <v>0</v>
      </c>
      <c r="BI47" s="138">
        <v>0</v>
      </c>
      <c r="BJ47" s="140">
        <v>0</v>
      </c>
    </row>
    <row r="48" spans="1:62">
      <c r="A48" s="134" t="s">
        <v>264</v>
      </c>
      <c r="B48" s="135">
        <v>2030</v>
      </c>
      <c r="C48" s="135" t="s">
        <v>143</v>
      </c>
      <c r="D48" s="135" t="s">
        <v>131</v>
      </c>
      <c r="E48" s="135" t="s">
        <v>131</v>
      </c>
      <c r="F48" s="135" t="s">
        <v>145</v>
      </c>
      <c r="G48" s="135">
        <v>1531.70350221322</v>
      </c>
      <c r="H48" s="138">
        <v>46943.850566955203</v>
      </c>
      <c r="I48" s="138">
        <v>7537.2934114588797</v>
      </c>
      <c r="J48" s="138">
        <v>0</v>
      </c>
      <c r="K48" s="138">
        <v>0</v>
      </c>
      <c r="L48" s="138">
        <v>0</v>
      </c>
      <c r="M48" s="138">
        <v>0</v>
      </c>
      <c r="N48" s="138">
        <v>2.0265178665169299E-5</v>
      </c>
      <c r="O48" s="138">
        <v>4.0611879712499103E-5</v>
      </c>
      <c r="P48" s="138">
        <v>0</v>
      </c>
      <c r="Q48" s="138">
        <v>5.28093291099118E-6</v>
      </c>
      <c r="R48" s="138">
        <v>6.6157991288659594E-5</v>
      </c>
      <c r="S48" s="138">
        <v>0</v>
      </c>
      <c r="T48" s="138">
        <v>0</v>
      </c>
      <c r="U48" s="138">
        <v>0</v>
      </c>
      <c r="V48" s="138">
        <v>0</v>
      </c>
      <c r="W48" s="138">
        <v>2.0265178665169299E-5</v>
      </c>
      <c r="X48" s="138">
        <v>4.0611879712482298E-5</v>
      </c>
      <c r="Y48" s="138">
        <v>0</v>
      </c>
      <c r="Z48" s="138">
        <v>5.28093291099118E-6</v>
      </c>
      <c r="AA48" s="138">
        <v>6.6157991288642897E-5</v>
      </c>
      <c r="AB48" s="138">
        <v>0</v>
      </c>
      <c r="AC48" s="138">
        <v>0</v>
      </c>
      <c r="AD48" s="138">
        <v>0</v>
      </c>
      <c r="AE48" s="138">
        <v>0</v>
      </c>
      <c r="AF48" s="138">
        <v>0</v>
      </c>
      <c r="AG48" s="138">
        <v>0</v>
      </c>
      <c r="AH48" s="138">
        <v>0</v>
      </c>
      <c r="AI48" s="138">
        <v>0</v>
      </c>
      <c r="AJ48" s="138">
        <v>0</v>
      </c>
      <c r="AK48" s="138">
        <v>0</v>
      </c>
      <c r="AL48" s="138">
        <v>0</v>
      </c>
      <c r="AM48" s="138">
        <v>0</v>
      </c>
      <c r="AN48" s="138">
        <v>0</v>
      </c>
      <c r="AO48" s="138">
        <v>0</v>
      </c>
      <c r="AP48" s="138">
        <v>0</v>
      </c>
      <c r="AQ48" s="138">
        <v>0</v>
      </c>
      <c r="AR48" s="138">
        <v>4.1397389966639199E-4</v>
      </c>
      <c r="AS48" s="138">
        <v>1.90169260159248E-3</v>
      </c>
      <c r="AT48" s="138">
        <v>2.31566650125888E-3</v>
      </c>
      <c r="AU48" s="138">
        <v>0</v>
      </c>
      <c r="AV48" s="138">
        <v>0</v>
      </c>
      <c r="AW48" s="138">
        <v>0</v>
      </c>
      <c r="AX48" s="138">
        <v>0</v>
      </c>
      <c r="AY48" s="138">
        <v>1.03493474916598E-4</v>
      </c>
      <c r="AZ48" s="138">
        <v>8.1501111496820903E-4</v>
      </c>
      <c r="BA48" s="138">
        <v>9.1850458988480702E-4</v>
      </c>
      <c r="BB48" s="138">
        <v>0</v>
      </c>
      <c r="BC48" s="138">
        <v>0</v>
      </c>
      <c r="BD48" s="138">
        <v>0</v>
      </c>
      <c r="BE48" s="138">
        <v>0</v>
      </c>
      <c r="BF48" s="138">
        <v>0</v>
      </c>
      <c r="BG48" s="138">
        <v>0</v>
      </c>
      <c r="BH48" s="138">
        <v>0</v>
      </c>
      <c r="BI48" s="138">
        <v>0</v>
      </c>
      <c r="BJ48" s="140">
        <v>0</v>
      </c>
    </row>
    <row r="49" spans="1:62">
      <c r="A49" s="134" t="s">
        <v>264</v>
      </c>
      <c r="B49" s="135">
        <v>2030</v>
      </c>
      <c r="C49" s="135" t="s">
        <v>142</v>
      </c>
      <c r="D49" s="135" t="s">
        <v>131</v>
      </c>
      <c r="E49" s="135" t="s">
        <v>131</v>
      </c>
      <c r="F49" s="135" t="s">
        <v>145</v>
      </c>
      <c r="G49" s="135">
        <v>5929.2224951573398</v>
      </c>
      <c r="H49" s="138">
        <v>124002.78509632499</v>
      </c>
      <c r="I49" s="138">
        <v>29036.8411612788</v>
      </c>
      <c r="J49" s="138">
        <v>0</v>
      </c>
      <c r="K49" s="138">
        <v>0</v>
      </c>
      <c r="L49" s="138">
        <v>0</v>
      </c>
      <c r="M49" s="138">
        <v>0</v>
      </c>
      <c r="N49" s="138">
        <v>7.8446483301947901E-5</v>
      </c>
      <c r="O49" s="138">
        <v>1.5645413228573601E-4</v>
      </c>
      <c r="P49" s="138">
        <v>0</v>
      </c>
      <c r="Q49" s="138">
        <v>2.0442485223818999E-5</v>
      </c>
      <c r="R49" s="138">
        <v>2.5534310081150302E-4</v>
      </c>
      <c r="S49" s="138">
        <v>0</v>
      </c>
      <c r="T49" s="138">
        <v>0</v>
      </c>
      <c r="U49" s="138">
        <v>0</v>
      </c>
      <c r="V49" s="138">
        <v>0</v>
      </c>
      <c r="W49" s="138">
        <v>7.8446483301947901E-5</v>
      </c>
      <c r="X49" s="138">
        <v>1.5645413228567199E-4</v>
      </c>
      <c r="Y49" s="138">
        <v>0</v>
      </c>
      <c r="Z49" s="138">
        <v>2.0442485223818999E-5</v>
      </c>
      <c r="AA49" s="138">
        <v>2.55343100811439E-4</v>
      </c>
      <c r="AB49" s="138">
        <v>0</v>
      </c>
      <c r="AC49" s="138">
        <v>0</v>
      </c>
      <c r="AD49" s="138">
        <v>0</v>
      </c>
      <c r="AE49" s="138">
        <v>0</v>
      </c>
      <c r="AF49" s="138">
        <v>0</v>
      </c>
      <c r="AG49" s="138">
        <v>0</v>
      </c>
      <c r="AH49" s="138">
        <v>0</v>
      </c>
      <c r="AI49" s="138">
        <v>0</v>
      </c>
      <c r="AJ49" s="138">
        <v>0</v>
      </c>
      <c r="AK49" s="138">
        <v>0</v>
      </c>
      <c r="AL49" s="138">
        <v>0</v>
      </c>
      <c r="AM49" s="138">
        <v>0</v>
      </c>
      <c r="AN49" s="138">
        <v>0</v>
      </c>
      <c r="AO49" s="138">
        <v>0</v>
      </c>
      <c r="AP49" s="138">
        <v>0</v>
      </c>
      <c r="AQ49" s="138">
        <v>0</v>
      </c>
      <c r="AR49" s="138">
        <v>1.0935173807824401E-3</v>
      </c>
      <c r="AS49" s="138">
        <v>5.0233454679693597E-3</v>
      </c>
      <c r="AT49" s="138">
        <v>6.1168628487518004E-3</v>
      </c>
      <c r="AU49" s="138">
        <v>0</v>
      </c>
      <c r="AV49" s="138">
        <v>0</v>
      </c>
      <c r="AW49" s="138">
        <v>0</v>
      </c>
      <c r="AX49" s="138">
        <v>0</v>
      </c>
      <c r="AY49" s="138">
        <v>2.73379345195611E-4</v>
      </c>
      <c r="AZ49" s="138">
        <v>2.1528623434154399E-3</v>
      </c>
      <c r="BA49" s="138">
        <v>2.4262416886110501E-3</v>
      </c>
      <c r="BB49" s="138">
        <v>0</v>
      </c>
      <c r="BC49" s="138">
        <v>0</v>
      </c>
      <c r="BD49" s="138">
        <v>0</v>
      </c>
      <c r="BE49" s="138">
        <v>0</v>
      </c>
      <c r="BF49" s="138">
        <v>0</v>
      </c>
      <c r="BG49" s="138">
        <v>0</v>
      </c>
      <c r="BH49" s="138">
        <v>0</v>
      </c>
      <c r="BI49" s="138">
        <v>0</v>
      </c>
      <c r="BJ49" s="140">
        <v>0</v>
      </c>
    </row>
    <row r="50" spans="1:62">
      <c r="A50" s="134" t="s">
        <v>264</v>
      </c>
      <c r="B50" s="135">
        <v>2030</v>
      </c>
      <c r="C50" s="135" t="s">
        <v>138</v>
      </c>
      <c r="D50" s="135" t="s">
        <v>131</v>
      </c>
      <c r="E50" s="135" t="s">
        <v>131</v>
      </c>
      <c r="F50" s="135" t="s">
        <v>145</v>
      </c>
      <c r="G50" s="135">
        <v>3956.9974779548602</v>
      </c>
      <c r="H50" s="138">
        <v>84717.339680044097</v>
      </c>
      <c r="I50" s="138">
        <v>19533.887014967298</v>
      </c>
      <c r="J50" s="138">
        <v>0</v>
      </c>
      <c r="K50" s="138">
        <v>0</v>
      </c>
      <c r="L50" s="138">
        <v>0</v>
      </c>
      <c r="M50" s="138">
        <v>0</v>
      </c>
      <c r="N50" s="138">
        <v>5.2352991784970701E-5</v>
      </c>
      <c r="O50" s="138">
        <v>1.05251026656776E-4</v>
      </c>
      <c r="P50" s="138">
        <v>0</v>
      </c>
      <c r="Q50" s="138">
        <v>1.3642743637947199E-5</v>
      </c>
      <c r="R50" s="138">
        <v>1.7124676207969401E-4</v>
      </c>
      <c r="S50" s="138">
        <v>0</v>
      </c>
      <c r="T50" s="138">
        <v>0</v>
      </c>
      <c r="U50" s="138">
        <v>0</v>
      </c>
      <c r="V50" s="138">
        <v>0</v>
      </c>
      <c r="W50" s="138">
        <v>5.2352991784970701E-5</v>
      </c>
      <c r="X50" s="138">
        <v>1.05251026656732E-4</v>
      </c>
      <c r="Y50" s="138">
        <v>0</v>
      </c>
      <c r="Z50" s="138">
        <v>1.3642743637947199E-5</v>
      </c>
      <c r="AA50" s="138">
        <v>1.7124676207964999E-4</v>
      </c>
      <c r="AB50" s="138">
        <v>0</v>
      </c>
      <c r="AC50" s="138">
        <v>0</v>
      </c>
      <c r="AD50" s="138">
        <v>0</v>
      </c>
      <c r="AE50" s="138">
        <v>0</v>
      </c>
      <c r="AF50" s="138">
        <v>0</v>
      </c>
      <c r="AG50" s="138">
        <v>0</v>
      </c>
      <c r="AH50" s="138">
        <v>0</v>
      </c>
      <c r="AI50" s="138">
        <v>0</v>
      </c>
      <c r="AJ50" s="138">
        <v>0</v>
      </c>
      <c r="AK50" s="138">
        <v>0</v>
      </c>
      <c r="AL50" s="138">
        <v>0</v>
      </c>
      <c r="AM50" s="138">
        <v>0</v>
      </c>
      <c r="AN50" s="138">
        <v>0</v>
      </c>
      <c r="AO50" s="138">
        <v>0</v>
      </c>
      <c r="AP50" s="138">
        <v>0</v>
      </c>
      <c r="AQ50" s="138">
        <v>0</v>
      </c>
      <c r="AR50" s="138">
        <v>7.47079054085888E-4</v>
      </c>
      <c r="AS50" s="138">
        <v>3.43189440470704E-3</v>
      </c>
      <c r="AT50" s="138">
        <v>4.1789734587929298E-3</v>
      </c>
      <c r="AU50" s="138">
        <v>0</v>
      </c>
      <c r="AV50" s="138">
        <v>0</v>
      </c>
      <c r="AW50" s="138">
        <v>0</v>
      </c>
      <c r="AX50" s="138">
        <v>0</v>
      </c>
      <c r="AY50" s="138">
        <v>1.86769763521472E-4</v>
      </c>
      <c r="AZ50" s="138">
        <v>1.4708118877315901E-3</v>
      </c>
      <c r="BA50" s="138">
        <v>1.6575816512530599E-3</v>
      </c>
      <c r="BB50" s="138">
        <v>0</v>
      </c>
      <c r="BC50" s="138">
        <v>0</v>
      </c>
      <c r="BD50" s="138">
        <v>0</v>
      </c>
      <c r="BE50" s="138">
        <v>0</v>
      </c>
      <c r="BF50" s="138">
        <v>0</v>
      </c>
      <c r="BG50" s="138">
        <v>0</v>
      </c>
      <c r="BH50" s="138">
        <v>0</v>
      </c>
      <c r="BI50" s="138">
        <v>0</v>
      </c>
      <c r="BJ50" s="140">
        <v>0</v>
      </c>
    </row>
    <row r="51" spans="1:62">
      <c r="A51" s="134" t="s">
        <v>264</v>
      </c>
      <c r="B51" s="135">
        <v>2030</v>
      </c>
      <c r="C51" s="135" t="s">
        <v>144</v>
      </c>
      <c r="D51" s="135" t="s">
        <v>131</v>
      </c>
      <c r="E51" s="135" t="s">
        <v>131</v>
      </c>
      <c r="F51" s="135" t="s">
        <v>130</v>
      </c>
      <c r="G51" s="135">
        <v>317953.08736213902</v>
      </c>
      <c r="H51" s="138">
        <v>8058428.3427758701</v>
      </c>
      <c r="I51" s="138">
        <v>1505411.2709526799</v>
      </c>
      <c r="J51" s="138">
        <v>2.7236661072202999E-2</v>
      </c>
      <c r="K51" s="138">
        <v>0</v>
      </c>
      <c r="L51" s="138">
        <v>0.21126142112619101</v>
      </c>
      <c r="M51" s="138">
        <v>0.238498082198394</v>
      </c>
      <c r="N51" s="138">
        <v>3.6468890685358003E-2</v>
      </c>
      <c r="O51" s="138">
        <v>0.105958766584409</v>
      </c>
      <c r="P51" s="138">
        <v>0.29322840771397002</v>
      </c>
      <c r="Q51" s="138">
        <v>3.8663198652292202E-2</v>
      </c>
      <c r="R51" s="138">
        <v>0.71281734583442402</v>
      </c>
      <c r="S51" s="138">
        <v>3.97436719007545E-2</v>
      </c>
      <c r="T51" s="138">
        <v>0</v>
      </c>
      <c r="U51" s="138">
        <v>0.23130466419246101</v>
      </c>
      <c r="V51" s="138">
        <v>0.27104833609321499</v>
      </c>
      <c r="W51" s="138">
        <v>3.6468890685358003E-2</v>
      </c>
      <c r="X51" s="138">
        <v>0.105958766584366</v>
      </c>
      <c r="Y51" s="138">
        <v>0.293228407713849</v>
      </c>
      <c r="Z51" s="138">
        <v>3.8663198652292202E-2</v>
      </c>
      <c r="AA51" s="138">
        <v>0.74536759972908095</v>
      </c>
      <c r="AB51" s="138">
        <v>3.5802730486929999</v>
      </c>
      <c r="AC51" s="138">
        <v>0</v>
      </c>
      <c r="AD51" s="138">
        <v>3.0035905564466301</v>
      </c>
      <c r="AE51" s="138">
        <v>6.58386360513963</v>
      </c>
      <c r="AF51" s="138">
        <v>0.170379241669426</v>
      </c>
      <c r="AG51" s="138">
        <v>0</v>
      </c>
      <c r="AH51" s="138">
        <v>0.21678810526570999</v>
      </c>
      <c r="AI51" s="138">
        <v>0.38716734693513699</v>
      </c>
      <c r="AJ51" s="138">
        <v>1863.79287423746</v>
      </c>
      <c r="AK51" s="138">
        <v>0</v>
      </c>
      <c r="AL51" s="138">
        <v>73.967420255025203</v>
      </c>
      <c r="AM51" s="138">
        <v>1937.7602944924899</v>
      </c>
      <c r="AN51" s="138">
        <v>7.9951339492423893E-3</v>
      </c>
      <c r="AO51" s="138">
        <v>0</v>
      </c>
      <c r="AP51" s="138">
        <v>2.1680797794247399E-3</v>
      </c>
      <c r="AQ51" s="138">
        <v>1.01632137286671E-2</v>
      </c>
      <c r="AR51" s="138">
        <v>7.1063173684124098E-2</v>
      </c>
      <c r="AS51" s="138">
        <v>0.32644645411144502</v>
      </c>
      <c r="AT51" s="138">
        <v>0.407672841524236</v>
      </c>
      <c r="AU51" s="138">
        <v>7.3512305439342798E-3</v>
      </c>
      <c r="AV51" s="138">
        <v>0</v>
      </c>
      <c r="AW51" s="138">
        <v>1.9934693273905299E-3</v>
      </c>
      <c r="AX51" s="138">
        <v>9.3446998713248193E-3</v>
      </c>
      <c r="AY51" s="138">
        <v>1.7765793421031E-2</v>
      </c>
      <c r="AZ51" s="138">
        <v>0.139905623190619</v>
      </c>
      <c r="BA51" s="138">
        <v>0.16701611648297501</v>
      </c>
      <c r="BB51" s="138">
        <v>1.8443741385372699E-2</v>
      </c>
      <c r="BC51" s="138">
        <v>0</v>
      </c>
      <c r="BD51" s="138">
        <v>7.3196758555320502E-4</v>
      </c>
      <c r="BE51" s="138">
        <v>1.9175708970925898E-2</v>
      </c>
      <c r="BF51" s="138">
        <v>2.5334194726917E-2</v>
      </c>
      <c r="BG51" s="138">
        <v>0</v>
      </c>
      <c r="BH51" s="138">
        <v>3.1863230114640803E-2</v>
      </c>
      <c r="BI51" s="138">
        <v>5.7197424841557903E-2</v>
      </c>
      <c r="BJ51" s="140">
        <v>204.53680495377699</v>
      </c>
    </row>
    <row r="52" spans="1:62">
      <c r="A52" s="134" t="s">
        <v>264</v>
      </c>
      <c r="B52" s="135">
        <v>2030</v>
      </c>
      <c r="C52" s="135" t="s">
        <v>143</v>
      </c>
      <c r="D52" s="135" t="s">
        <v>131</v>
      </c>
      <c r="E52" s="135" t="s">
        <v>131</v>
      </c>
      <c r="F52" s="135" t="s">
        <v>130</v>
      </c>
      <c r="G52" s="135">
        <v>59176.873040312297</v>
      </c>
      <c r="H52" s="138">
        <v>1450561.4163408601</v>
      </c>
      <c r="I52" s="138">
        <v>278726.909956566</v>
      </c>
      <c r="J52" s="138">
        <v>7.2965939226769397E-3</v>
      </c>
      <c r="K52" s="138">
        <v>0</v>
      </c>
      <c r="L52" s="138">
        <v>4.0768026923785797E-2</v>
      </c>
      <c r="M52" s="138">
        <v>4.8064620846462701E-2</v>
      </c>
      <c r="N52" s="138">
        <v>8.1955396592838393E-3</v>
      </c>
      <c r="O52" s="138">
        <v>2.0667391209297399E-2</v>
      </c>
      <c r="P52" s="138">
        <v>8.7421423522395694E-2</v>
      </c>
      <c r="Q52" s="138">
        <v>8.7638502434390295E-3</v>
      </c>
      <c r="R52" s="138">
        <v>0.173112825480878</v>
      </c>
      <c r="S52" s="138">
        <v>1.0647172723820699E-2</v>
      </c>
      <c r="T52" s="138">
        <v>0</v>
      </c>
      <c r="U52" s="138">
        <v>4.4635857920139702E-2</v>
      </c>
      <c r="V52" s="138">
        <v>5.52830306439605E-2</v>
      </c>
      <c r="W52" s="138">
        <v>8.1955396592838393E-3</v>
      </c>
      <c r="X52" s="138">
        <v>2.0667391209288899E-2</v>
      </c>
      <c r="Y52" s="138">
        <v>8.7421423522359695E-2</v>
      </c>
      <c r="Z52" s="138">
        <v>8.7638502434390295E-3</v>
      </c>
      <c r="AA52" s="138">
        <v>0.180331235278332</v>
      </c>
      <c r="AB52" s="138">
        <v>0.73055402739058894</v>
      </c>
      <c r="AC52" s="138">
        <v>0</v>
      </c>
      <c r="AD52" s="138">
        <v>0.57096595645258097</v>
      </c>
      <c r="AE52" s="138">
        <v>1.3015199838431699</v>
      </c>
      <c r="AF52" s="138">
        <v>4.18652322544803E-2</v>
      </c>
      <c r="AG52" s="138">
        <v>0</v>
      </c>
      <c r="AH52" s="138">
        <v>4.2912369866775997E-2</v>
      </c>
      <c r="AI52" s="138">
        <v>8.4777602121256401E-2</v>
      </c>
      <c r="AJ52" s="138">
        <v>389.63656214741297</v>
      </c>
      <c r="AK52" s="138">
        <v>0</v>
      </c>
      <c r="AL52" s="138">
        <v>15.8050573397876</v>
      </c>
      <c r="AM52" s="138">
        <v>405.44161948720102</v>
      </c>
      <c r="AN52" s="138">
        <v>1.63290758004053E-3</v>
      </c>
      <c r="AO52" s="138">
        <v>0</v>
      </c>
      <c r="AP52" s="138">
        <v>4.3890586372830298E-4</v>
      </c>
      <c r="AQ52" s="138">
        <v>2.0718134437688299E-3</v>
      </c>
      <c r="AR52" s="138">
        <v>1.2791762051384201E-2</v>
      </c>
      <c r="AS52" s="138">
        <v>5.8762156923546298E-2</v>
      </c>
      <c r="AT52" s="138">
        <v>7.3625732418699394E-2</v>
      </c>
      <c r="AU52" s="138">
        <v>1.50139824473525E-3</v>
      </c>
      <c r="AV52" s="138">
        <v>0</v>
      </c>
      <c r="AW52" s="138">
        <v>4.0355774047501699E-4</v>
      </c>
      <c r="AX52" s="138">
        <v>1.90495598521027E-3</v>
      </c>
      <c r="AY52" s="138">
        <v>3.1979405128460601E-3</v>
      </c>
      <c r="AZ52" s="138">
        <v>2.51837815386627E-2</v>
      </c>
      <c r="BA52" s="138">
        <v>3.0286678036719E-2</v>
      </c>
      <c r="BB52" s="138">
        <v>3.8557696436481701E-3</v>
      </c>
      <c r="BC52" s="138">
        <v>0</v>
      </c>
      <c r="BD52" s="138">
        <v>1.5640385484105501E-4</v>
      </c>
      <c r="BE52" s="138">
        <v>4.0121734984892203E-3</v>
      </c>
      <c r="BF52" s="138">
        <v>5.23738257959058E-3</v>
      </c>
      <c r="BG52" s="138">
        <v>0</v>
      </c>
      <c r="BH52" s="138">
        <v>6.1865493302391897E-3</v>
      </c>
      <c r="BI52" s="138">
        <v>1.1423931909829699E-2</v>
      </c>
      <c r="BJ52" s="140">
        <v>42.795661403990302</v>
      </c>
    </row>
    <row r="53" spans="1:62">
      <c r="A53" s="134" t="s">
        <v>264</v>
      </c>
      <c r="B53" s="135">
        <v>2030</v>
      </c>
      <c r="C53" s="135" t="s">
        <v>142</v>
      </c>
      <c r="D53" s="135" t="s">
        <v>131</v>
      </c>
      <c r="E53" s="135" t="s">
        <v>131</v>
      </c>
      <c r="F53" s="135" t="s">
        <v>130</v>
      </c>
      <c r="G53" s="135">
        <v>184911.87169952301</v>
      </c>
      <c r="H53" s="138">
        <v>4550706.9066508999</v>
      </c>
      <c r="I53" s="138">
        <v>873045.33599452395</v>
      </c>
      <c r="J53" s="138">
        <v>2.42637366924555E-2</v>
      </c>
      <c r="K53" s="138">
        <v>0</v>
      </c>
      <c r="L53" s="138">
        <v>0.157896688940588</v>
      </c>
      <c r="M53" s="138">
        <v>0.18216042563304399</v>
      </c>
      <c r="N53" s="138">
        <v>2.9144647267615301E-2</v>
      </c>
      <c r="O53" s="138">
        <v>6.2507844181572098E-2</v>
      </c>
      <c r="P53" s="138">
        <v>0.26059958232779401</v>
      </c>
      <c r="Q53" s="138">
        <v>3.3528056564786198E-2</v>
      </c>
      <c r="R53" s="138">
        <v>0.56794055597481197</v>
      </c>
      <c r="S53" s="138">
        <v>3.54055876245205E-2</v>
      </c>
      <c r="T53" s="138">
        <v>0</v>
      </c>
      <c r="U53" s="138">
        <v>0.172876999585687</v>
      </c>
      <c r="V53" s="138">
        <v>0.20828258721020701</v>
      </c>
      <c r="W53" s="138">
        <v>2.9144647267615301E-2</v>
      </c>
      <c r="X53" s="138">
        <v>6.2507844181546396E-2</v>
      </c>
      <c r="Y53" s="138">
        <v>0.26059958232768698</v>
      </c>
      <c r="Z53" s="138">
        <v>3.3528056564786198E-2</v>
      </c>
      <c r="AA53" s="138">
        <v>0.59406271755184203</v>
      </c>
      <c r="AB53" s="138">
        <v>2.4402112030281602</v>
      </c>
      <c r="AC53" s="138">
        <v>0</v>
      </c>
      <c r="AD53" s="138">
        <v>2.22924562100977</v>
      </c>
      <c r="AE53" s="138">
        <v>4.6694568240379297</v>
      </c>
      <c r="AF53" s="138">
        <v>0.131187691692947</v>
      </c>
      <c r="AG53" s="138">
        <v>0</v>
      </c>
      <c r="AH53" s="138">
        <v>0.146136590479195</v>
      </c>
      <c r="AI53" s="138">
        <v>0.277324282172142</v>
      </c>
      <c r="AJ53" s="138">
        <v>1243.1396781347701</v>
      </c>
      <c r="AK53" s="138">
        <v>0</v>
      </c>
      <c r="AL53" s="138">
        <v>51.617574221203597</v>
      </c>
      <c r="AM53" s="138">
        <v>1294.75725235597</v>
      </c>
      <c r="AN53" s="138">
        <v>4.9088774502290501E-3</v>
      </c>
      <c r="AO53" s="138">
        <v>0</v>
      </c>
      <c r="AP53" s="138">
        <v>1.3189605376215201E-3</v>
      </c>
      <c r="AQ53" s="138">
        <v>6.2278379878505799E-3</v>
      </c>
      <c r="AR53" s="138">
        <v>4.0130365567224199E-2</v>
      </c>
      <c r="AS53" s="138">
        <v>0.18434886682443599</v>
      </c>
      <c r="AT53" s="138">
        <v>0.23070707037950999</v>
      </c>
      <c r="AU53" s="138">
        <v>4.5135316153112797E-3</v>
      </c>
      <c r="AV53" s="138">
        <v>0</v>
      </c>
      <c r="AW53" s="138">
        <v>1.21273552788019E-3</v>
      </c>
      <c r="AX53" s="138">
        <v>5.7262671431914701E-3</v>
      </c>
      <c r="AY53" s="138">
        <v>1.0032591391806E-2</v>
      </c>
      <c r="AZ53" s="138">
        <v>7.9006657210472606E-2</v>
      </c>
      <c r="BA53" s="138">
        <v>9.4765515745470097E-2</v>
      </c>
      <c r="BB53" s="138">
        <v>1.2301874873726901E-2</v>
      </c>
      <c r="BC53" s="138">
        <v>0</v>
      </c>
      <c r="BD53" s="138">
        <v>5.1079774101275095E-4</v>
      </c>
      <c r="BE53" s="138">
        <v>1.28126726147396E-2</v>
      </c>
      <c r="BF53" s="138">
        <v>1.6069772121556799E-2</v>
      </c>
      <c r="BG53" s="138">
        <v>0</v>
      </c>
      <c r="BH53" s="138">
        <v>2.0547662308830199E-2</v>
      </c>
      <c r="BI53" s="138">
        <v>3.6617434430387098E-2</v>
      </c>
      <c r="BJ53" s="140">
        <v>136.665774575065</v>
      </c>
    </row>
    <row r="54" spans="1:62">
      <c r="A54" s="134" t="s">
        <v>264</v>
      </c>
      <c r="B54" s="135">
        <v>2030</v>
      </c>
      <c r="C54" s="135" t="s">
        <v>141</v>
      </c>
      <c r="D54" s="135" t="s">
        <v>131</v>
      </c>
      <c r="E54" s="135" t="s">
        <v>131</v>
      </c>
      <c r="F54" s="135" t="s">
        <v>130</v>
      </c>
      <c r="G54" s="135">
        <v>11350.2906467099</v>
      </c>
      <c r="H54" s="138">
        <v>312263.68108387699</v>
      </c>
      <c r="I54" s="138">
        <v>169102.418702914</v>
      </c>
      <c r="J54" s="138">
        <v>4.47798578842143E-3</v>
      </c>
      <c r="K54" s="138">
        <v>4.1827322604901396E-3</v>
      </c>
      <c r="L54" s="138">
        <v>1.11903058957534E-2</v>
      </c>
      <c r="M54" s="138">
        <v>1.9851023944665001E-2</v>
      </c>
      <c r="N54" s="138">
        <v>2.7384586249707598E-4</v>
      </c>
      <c r="O54" s="138">
        <v>1.22145315781306E-2</v>
      </c>
      <c r="P54" s="138">
        <v>9.3384639975415601E-2</v>
      </c>
      <c r="Q54" s="138">
        <v>1.8909827482992199E-4</v>
      </c>
      <c r="R54" s="138">
        <v>0.12591313963553799</v>
      </c>
      <c r="S54" s="138">
        <v>6.53426635076411E-3</v>
      </c>
      <c r="T54" s="138">
        <v>6.1034330958899497E-3</v>
      </c>
      <c r="U54" s="138">
        <v>1.2251976407382299E-2</v>
      </c>
      <c r="V54" s="138">
        <v>2.4889675854036401E-2</v>
      </c>
      <c r="W54" s="138">
        <v>2.7384586249707598E-4</v>
      </c>
      <c r="X54" s="138">
        <v>1.22145315781256E-2</v>
      </c>
      <c r="Y54" s="138">
        <v>9.3384639975377298E-2</v>
      </c>
      <c r="Z54" s="138">
        <v>1.8909827482992199E-4</v>
      </c>
      <c r="AA54" s="138">
        <v>0.130951791544866</v>
      </c>
      <c r="AB54" s="138">
        <v>9.2609085401796506E-2</v>
      </c>
      <c r="AC54" s="138">
        <v>4.7215683111756702E-2</v>
      </c>
      <c r="AD54" s="138">
        <v>0.27513950429277201</v>
      </c>
      <c r="AE54" s="138">
        <v>0.41496427280632497</v>
      </c>
      <c r="AF54" s="138">
        <v>2.4000277571459099E-2</v>
      </c>
      <c r="AG54" s="138">
        <v>3.6450464201428302E-4</v>
      </c>
      <c r="AH54" s="138">
        <v>6.4958224008119902E-2</v>
      </c>
      <c r="AI54" s="138">
        <v>8.9323006221593296E-2</v>
      </c>
      <c r="AJ54" s="138">
        <v>305.29094287490699</v>
      </c>
      <c r="AK54" s="138">
        <v>1.35989404589547</v>
      </c>
      <c r="AL54" s="138">
        <v>3.18432974950148</v>
      </c>
      <c r="AM54" s="138">
        <v>309.83516667030398</v>
      </c>
      <c r="AN54" s="138">
        <v>7.6790104936499005E-4</v>
      </c>
      <c r="AO54" s="138">
        <v>0</v>
      </c>
      <c r="AP54" s="138">
        <v>6.42997752865697E-5</v>
      </c>
      <c r="AQ54" s="138">
        <v>8.3220082465155999E-4</v>
      </c>
      <c r="AR54" s="138">
        <v>2.7536943011971498E-3</v>
      </c>
      <c r="AS54" s="138">
        <v>2.6311549047938702E-2</v>
      </c>
      <c r="AT54" s="138">
        <v>2.98974441737874E-2</v>
      </c>
      <c r="AU54" s="138">
        <v>7.0605666955035997E-4</v>
      </c>
      <c r="AV54" s="138">
        <v>0</v>
      </c>
      <c r="AW54" s="138">
        <v>5.9121269894362703E-5</v>
      </c>
      <c r="AX54" s="138">
        <v>7.6517793944472299E-4</v>
      </c>
      <c r="AY54" s="138">
        <v>6.8842357529928701E-4</v>
      </c>
      <c r="AZ54" s="138">
        <v>1.12763781634023E-2</v>
      </c>
      <c r="BA54" s="138">
        <v>1.27299796781463E-2</v>
      </c>
      <c r="BB54" s="138">
        <v>3.0211013656681498E-3</v>
      </c>
      <c r="BC54" s="138">
        <v>1.3457253990342599E-5</v>
      </c>
      <c r="BD54" s="138">
        <v>3.1511524267192197E-5</v>
      </c>
      <c r="BE54" s="138">
        <v>3.0660701439256801E-3</v>
      </c>
      <c r="BF54" s="138">
        <v>1.7989868970641901E-3</v>
      </c>
      <c r="BG54" s="138">
        <v>3.3581336151670399E-5</v>
      </c>
      <c r="BH54" s="138">
        <v>5.75457834385286E-3</v>
      </c>
      <c r="BI54" s="138">
        <v>7.5871465770687299E-3</v>
      </c>
      <c r="BJ54" s="140">
        <v>32.704094119991602</v>
      </c>
    </row>
    <row r="55" spans="1:62">
      <c r="A55" s="134" t="s">
        <v>264</v>
      </c>
      <c r="B55" s="135">
        <v>2030</v>
      </c>
      <c r="C55" s="135" t="s">
        <v>140</v>
      </c>
      <c r="D55" s="135" t="s">
        <v>131</v>
      </c>
      <c r="E55" s="135" t="s">
        <v>131</v>
      </c>
      <c r="F55" s="135" t="s">
        <v>130</v>
      </c>
      <c r="G55" s="135">
        <v>1659.1834294589501</v>
      </c>
      <c r="H55" s="138">
        <v>45317.163105956199</v>
      </c>
      <c r="I55" s="138">
        <v>24719.3609156284</v>
      </c>
      <c r="J55" s="138">
        <v>5.0062027709015704E-4</v>
      </c>
      <c r="K55" s="138">
        <v>5.9994337997688397E-4</v>
      </c>
      <c r="L55" s="138">
        <v>1.5590632257632901E-3</v>
      </c>
      <c r="M55" s="138">
        <v>2.6596268828303301E-3</v>
      </c>
      <c r="N55" s="138">
        <v>3.4261559469690901E-5</v>
      </c>
      <c r="O55" s="138">
        <v>1.48292352047896E-3</v>
      </c>
      <c r="P55" s="138">
        <v>8.8375822761799401E-3</v>
      </c>
      <c r="Q55" s="138">
        <v>2.4613236471990501E-5</v>
      </c>
      <c r="R55" s="138">
        <v>1.30390074754309E-2</v>
      </c>
      <c r="S55" s="138">
        <v>7.3050393316535496E-4</v>
      </c>
      <c r="T55" s="138">
        <v>8.7543597174491602E-4</v>
      </c>
      <c r="U55" s="138">
        <v>1.7069779894862401E-3</v>
      </c>
      <c r="V55" s="138">
        <v>3.3129178943965098E-3</v>
      </c>
      <c r="W55" s="138">
        <v>3.4261559469690901E-5</v>
      </c>
      <c r="X55" s="138">
        <v>1.48292352047835E-3</v>
      </c>
      <c r="Y55" s="138">
        <v>8.8375822761763093E-3</v>
      </c>
      <c r="Z55" s="138">
        <v>2.4613236471990501E-5</v>
      </c>
      <c r="AA55" s="138">
        <v>1.3692298486992801E-2</v>
      </c>
      <c r="AB55" s="138">
        <v>1.03249845698755E-2</v>
      </c>
      <c r="AC55" s="138">
        <v>6.9093529667167298E-3</v>
      </c>
      <c r="AD55" s="138">
        <v>3.9411375330998297E-2</v>
      </c>
      <c r="AE55" s="138">
        <v>5.6645712867590597E-2</v>
      </c>
      <c r="AF55" s="138">
        <v>3.5766807476291401E-3</v>
      </c>
      <c r="AG55" s="138">
        <v>5.2257120610781099E-5</v>
      </c>
      <c r="AH55" s="138">
        <v>9.5204733876248296E-3</v>
      </c>
      <c r="AI55" s="138">
        <v>1.3149411255864701E-2</v>
      </c>
      <c r="AJ55" s="138">
        <v>50.422510823244799</v>
      </c>
      <c r="AK55" s="138">
        <v>0.22736255541778</v>
      </c>
      <c r="AL55" s="138">
        <v>0.52603455466121896</v>
      </c>
      <c r="AM55" s="138">
        <v>51.175907933323799</v>
      </c>
      <c r="AN55" s="138">
        <v>1.07732449521218E-4</v>
      </c>
      <c r="AO55" s="138">
        <v>0</v>
      </c>
      <c r="AP55" s="138">
        <v>8.6982938895723905E-6</v>
      </c>
      <c r="AQ55" s="138">
        <v>1.1643074341078999E-4</v>
      </c>
      <c r="AR55" s="138">
        <v>3.9962897176560702E-4</v>
      </c>
      <c r="AS55" s="138">
        <v>4.4548639627570996E-3</v>
      </c>
      <c r="AT55" s="138">
        <v>4.9709236779334996E-3</v>
      </c>
      <c r="AU55" s="138">
        <v>9.9056010633603097E-5</v>
      </c>
      <c r="AV55" s="138">
        <v>0</v>
      </c>
      <c r="AW55" s="138">
        <v>7.9977601534994399E-6</v>
      </c>
      <c r="AX55" s="138">
        <v>1.07053770787102E-4</v>
      </c>
      <c r="AY55" s="138">
        <v>9.99072429414017E-5</v>
      </c>
      <c r="AZ55" s="138">
        <v>1.9092274126101801E-3</v>
      </c>
      <c r="BA55" s="138">
        <v>2.1161884263386898E-3</v>
      </c>
      <c r="BB55" s="138">
        <v>4.9897161990468798E-4</v>
      </c>
      <c r="BC55" s="138">
        <v>2.2499367986685001E-6</v>
      </c>
      <c r="BD55" s="138">
        <v>5.2055383514171996E-6</v>
      </c>
      <c r="BE55" s="138">
        <v>5.06427095054774E-4</v>
      </c>
      <c r="BF55" s="138">
        <v>2.8577747192697501E-4</v>
      </c>
      <c r="BG55" s="138">
        <v>4.7733379376422597E-6</v>
      </c>
      <c r="BH55" s="138">
        <v>8.3221194292385295E-4</v>
      </c>
      <c r="BI55" s="138">
        <v>1.12276275278847E-3</v>
      </c>
      <c r="BJ55" s="140">
        <v>5.40178097829802</v>
      </c>
    </row>
    <row r="56" spans="1:62">
      <c r="A56" s="134" t="s">
        <v>264</v>
      </c>
      <c r="B56" s="135">
        <v>2030</v>
      </c>
      <c r="C56" s="135" t="s">
        <v>139</v>
      </c>
      <c r="D56" s="135" t="s">
        <v>131</v>
      </c>
      <c r="E56" s="135" t="s">
        <v>131</v>
      </c>
      <c r="F56" s="135" t="s">
        <v>130</v>
      </c>
      <c r="G56" s="135">
        <v>23623.4420076313</v>
      </c>
      <c r="H56" s="138">
        <v>172244.03771987199</v>
      </c>
      <c r="I56" s="138">
        <v>47246.884015262702</v>
      </c>
      <c r="J56" s="138">
        <v>0.40530124782303001</v>
      </c>
      <c r="K56" s="138">
        <v>0</v>
      </c>
      <c r="L56" s="138">
        <v>9.8427416922622996E-2</v>
      </c>
      <c r="M56" s="138">
        <v>0.50372866474565303</v>
      </c>
      <c r="N56" s="138">
        <v>3.1550699423731697E-2</v>
      </c>
      <c r="O56" s="138">
        <v>2.5525637310420801E-2</v>
      </c>
      <c r="P56" s="138">
        <v>7.3116613300585304E-2</v>
      </c>
      <c r="Q56" s="138">
        <v>1.8578352920520999E-2</v>
      </c>
      <c r="R56" s="138">
        <v>0.65249996770091201</v>
      </c>
      <c r="S56" s="138">
        <v>0.50918417489584</v>
      </c>
      <c r="T56" s="138">
        <v>0</v>
      </c>
      <c r="U56" s="138">
        <v>0.10722073099275301</v>
      </c>
      <c r="V56" s="138">
        <v>0.61640490588859298</v>
      </c>
      <c r="W56" s="138">
        <v>3.1550699423731697E-2</v>
      </c>
      <c r="X56" s="138">
        <v>2.5525637310410201E-2</v>
      </c>
      <c r="Y56" s="138">
        <v>7.31166133005553E-2</v>
      </c>
      <c r="Z56" s="138">
        <v>1.8578352920520999E-2</v>
      </c>
      <c r="AA56" s="138">
        <v>0.76517620884381199</v>
      </c>
      <c r="AB56" s="138">
        <v>3.3718992917397999</v>
      </c>
      <c r="AC56" s="138">
        <v>0</v>
      </c>
      <c r="AD56" s="138">
        <v>0.48883739080587302</v>
      </c>
      <c r="AE56" s="138">
        <v>3.8607366825456699</v>
      </c>
      <c r="AF56" s="138">
        <v>0.21738738135844299</v>
      </c>
      <c r="AG56" s="138">
        <v>0</v>
      </c>
      <c r="AH56" s="138">
        <v>1.4228259996921301E-2</v>
      </c>
      <c r="AI56" s="138">
        <v>0.231615641355364</v>
      </c>
      <c r="AJ56" s="138">
        <v>40.362031210336397</v>
      </c>
      <c r="AK56" s="138">
        <v>0</v>
      </c>
      <c r="AL56" s="138">
        <v>3.0614504918312999</v>
      </c>
      <c r="AM56" s="138">
        <v>43.423481702167699</v>
      </c>
      <c r="AN56" s="138">
        <v>4.21038617752371E-4</v>
      </c>
      <c r="AO56" s="138">
        <v>0</v>
      </c>
      <c r="AP56" s="138">
        <v>1.56896869681479E-4</v>
      </c>
      <c r="AQ56" s="138">
        <v>5.77935487433851E-4</v>
      </c>
      <c r="AR56" s="138">
        <v>7.5946620407160801E-4</v>
      </c>
      <c r="AS56" s="138">
        <v>2.23283063997052E-3</v>
      </c>
      <c r="AT56" s="138">
        <v>3.5702323314759799E-3</v>
      </c>
      <c r="AU56" s="138">
        <v>3.92571190123215E-4</v>
      </c>
      <c r="AV56" s="138">
        <v>0</v>
      </c>
      <c r="AW56" s="138">
        <v>1.46572836377882E-4</v>
      </c>
      <c r="AX56" s="138">
        <v>5.3914402650109795E-4</v>
      </c>
      <c r="AY56" s="138">
        <v>1.89866551017902E-4</v>
      </c>
      <c r="AZ56" s="138">
        <v>9.5692741713022695E-4</v>
      </c>
      <c r="BA56" s="138">
        <v>1.68593799464922E-3</v>
      </c>
      <c r="BB56" s="138">
        <v>3.9941501854724802E-4</v>
      </c>
      <c r="BC56" s="138">
        <v>0</v>
      </c>
      <c r="BD56" s="138">
        <v>3.0295534399743899E-5</v>
      </c>
      <c r="BE56" s="138">
        <v>4.2971055294699199E-4</v>
      </c>
      <c r="BF56" s="138">
        <v>1.25304168092125E-2</v>
      </c>
      <c r="BG56" s="138">
        <v>0</v>
      </c>
      <c r="BH56" s="138">
        <v>8.1179996873880704E-4</v>
      </c>
      <c r="BI56" s="138">
        <v>1.3342216777951299E-2</v>
      </c>
      <c r="BJ56" s="140">
        <v>4.5834875616833504</v>
      </c>
    </row>
    <row r="57" spans="1:62">
      <c r="A57" s="134" t="s">
        <v>264</v>
      </c>
      <c r="B57" s="135">
        <v>2030</v>
      </c>
      <c r="C57" s="135" t="s">
        <v>138</v>
      </c>
      <c r="D57" s="135" t="s">
        <v>131</v>
      </c>
      <c r="E57" s="135" t="s">
        <v>131</v>
      </c>
      <c r="F57" s="135" t="s">
        <v>130</v>
      </c>
      <c r="G57" s="135">
        <v>113553.236274585</v>
      </c>
      <c r="H57" s="138">
        <v>2864103.3746457701</v>
      </c>
      <c r="I57" s="138">
        <v>535566.83726475399</v>
      </c>
      <c r="J57" s="138">
        <v>1.4649176713193801E-2</v>
      </c>
      <c r="K57" s="138">
        <v>0</v>
      </c>
      <c r="L57" s="138">
        <v>0.103185917154972</v>
      </c>
      <c r="M57" s="138">
        <v>0.117835093868166</v>
      </c>
      <c r="N57" s="138">
        <v>2.1933317190406199E-2</v>
      </c>
      <c r="O57" s="138">
        <v>4.3594040936291198E-2</v>
      </c>
      <c r="P57" s="138">
        <v>0.161460848409892</v>
      </c>
      <c r="Q57" s="138">
        <v>2.5067350307055199E-2</v>
      </c>
      <c r="R57" s="138">
        <v>0.36989065071181199</v>
      </c>
      <c r="S57" s="138">
        <v>2.1376044272164399E-2</v>
      </c>
      <c r="T57" s="138">
        <v>0</v>
      </c>
      <c r="U57" s="138">
        <v>0.11297559104587</v>
      </c>
      <c r="V57" s="138">
        <v>0.13435163531803501</v>
      </c>
      <c r="W57" s="138">
        <v>2.1933317190406199E-2</v>
      </c>
      <c r="X57" s="138">
        <v>4.3594040936273198E-2</v>
      </c>
      <c r="Y57" s="138">
        <v>0.161460848409826</v>
      </c>
      <c r="Z57" s="138">
        <v>2.5067350307055199E-2</v>
      </c>
      <c r="AA57" s="138">
        <v>0.38640719216159602</v>
      </c>
      <c r="AB57" s="138">
        <v>1.5025402795521301</v>
      </c>
      <c r="AC57" s="138">
        <v>0</v>
      </c>
      <c r="AD57" s="138">
        <v>1.39680291036347</v>
      </c>
      <c r="AE57" s="138">
        <v>2.8993431899156001</v>
      </c>
      <c r="AF57" s="138">
        <v>7.89843372273243E-2</v>
      </c>
      <c r="AG57" s="138">
        <v>0</v>
      </c>
      <c r="AH57" s="138">
        <v>9.4671153599346705E-2</v>
      </c>
      <c r="AI57" s="138">
        <v>0.17365549082667101</v>
      </c>
      <c r="AJ57" s="138">
        <v>939.90990374674402</v>
      </c>
      <c r="AK57" s="138">
        <v>0</v>
      </c>
      <c r="AL57" s="138">
        <v>38.220860445748002</v>
      </c>
      <c r="AM57" s="138">
        <v>978.13076419249205</v>
      </c>
      <c r="AN57" s="138">
        <v>3.02298366155071E-3</v>
      </c>
      <c r="AO57" s="138">
        <v>0</v>
      </c>
      <c r="AP57" s="138">
        <v>8.12053575148047E-4</v>
      </c>
      <c r="AQ57" s="138">
        <v>3.8350372366987499E-3</v>
      </c>
      <c r="AR57" s="138">
        <v>2.52570683642299E-2</v>
      </c>
      <c r="AS57" s="138">
        <v>0.116024657798181</v>
      </c>
      <c r="AT57" s="138">
        <v>0.14511676339911</v>
      </c>
      <c r="AU57" s="138">
        <v>2.7795218901506499E-3</v>
      </c>
      <c r="AV57" s="138">
        <v>0</v>
      </c>
      <c r="AW57" s="138">
        <v>7.4665328721665997E-4</v>
      </c>
      <c r="AX57" s="138">
        <v>3.52617517736731E-3</v>
      </c>
      <c r="AY57" s="138">
        <v>6.3142670910574898E-3</v>
      </c>
      <c r="AZ57" s="138">
        <v>4.9724853342077699E-2</v>
      </c>
      <c r="BA57" s="138">
        <v>5.9565295610502597E-2</v>
      </c>
      <c r="BB57" s="138">
        <v>9.3011704411349698E-3</v>
      </c>
      <c r="BC57" s="138">
        <v>0</v>
      </c>
      <c r="BD57" s="138">
        <v>3.7822639807881401E-4</v>
      </c>
      <c r="BE57" s="138">
        <v>9.6793968392137799E-3</v>
      </c>
      <c r="BF57" s="138">
        <v>1.0029576385847E-2</v>
      </c>
      <c r="BG57" s="138">
        <v>0</v>
      </c>
      <c r="BH57" s="138">
        <v>1.28675982009631E-2</v>
      </c>
      <c r="BI57" s="138">
        <v>2.28971745868101E-2</v>
      </c>
      <c r="BJ57" s="140">
        <v>103.24483472158499</v>
      </c>
    </row>
    <row r="58" spans="1:62">
      <c r="A58" s="134" t="s">
        <v>264</v>
      </c>
      <c r="B58" s="135">
        <v>2030</v>
      </c>
      <c r="C58" s="135" t="s">
        <v>137</v>
      </c>
      <c r="D58" s="135" t="s">
        <v>131</v>
      </c>
      <c r="E58" s="135" t="s">
        <v>131</v>
      </c>
      <c r="F58" s="135" t="s">
        <v>130</v>
      </c>
      <c r="G58" s="135">
        <v>1577.3237882215001</v>
      </c>
      <c r="H58" s="138">
        <v>13531.833257181001</v>
      </c>
      <c r="I58" s="138">
        <v>157.795471773679</v>
      </c>
      <c r="J58" s="138">
        <v>1.9590939536707499E-4</v>
      </c>
      <c r="K58" s="138">
        <v>0</v>
      </c>
      <c r="L58" s="138">
        <v>1.7315268902591901E-5</v>
      </c>
      <c r="M58" s="138">
        <v>2.13224664269667E-4</v>
      </c>
      <c r="N58" s="138">
        <v>4.0644826795669098E-5</v>
      </c>
      <c r="O58" s="138">
        <v>3.5730847807137599E-6</v>
      </c>
      <c r="P58" s="138">
        <v>6.2681186695673994E-5</v>
      </c>
      <c r="Q58" s="138">
        <v>2.0599778710200899E-5</v>
      </c>
      <c r="R58" s="138">
        <v>3.4072354125192498E-4</v>
      </c>
      <c r="S58" s="138">
        <v>2.8587052983857002E-4</v>
      </c>
      <c r="T58" s="138">
        <v>0</v>
      </c>
      <c r="U58" s="138">
        <v>1.8958039937276698E-5</v>
      </c>
      <c r="V58" s="138">
        <v>3.0482856977584699E-4</v>
      </c>
      <c r="W58" s="138">
        <v>4.0644826795669098E-5</v>
      </c>
      <c r="X58" s="138">
        <v>3.5730847807122899E-6</v>
      </c>
      <c r="Y58" s="138">
        <v>6.2681186695648204E-5</v>
      </c>
      <c r="Z58" s="138">
        <v>2.0599778710200899E-5</v>
      </c>
      <c r="AA58" s="138">
        <v>4.32327446758078E-4</v>
      </c>
      <c r="AB58" s="138">
        <v>3.2318882135711001E-3</v>
      </c>
      <c r="AC58" s="138">
        <v>0</v>
      </c>
      <c r="AD58" s="138">
        <v>3.9693668552142302E-4</v>
      </c>
      <c r="AE58" s="138">
        <v>3.6288248990925301E-3</v>
      </c>
      <c r="AF58" s="138">
        <v>1.7427407447567901E-3</v>
      </c>
      <c r="AG58" s="138">
        <v>0</v>
      </c>
      <c r="AH58" s="138">
        <v>5.5149710723226599E-5</v>
      </c>
      <c r="AI58" s="138">
        <v>1.7978904554800199E-3</v>
      </c>
      <c r="AJ58" s="138">
        <v>22.226514924594099</v>
      </c>
      <c r="AK58" s="138">
        <v>0</v>
      </c>
      <c r="AL58" s="138">
        <v>3.76009231929198E-3</v>
      </c>
      <c r="AM58" s="138">
        <v>22.2302750169133</v>
      </c>
      <c r="AN58" s="138">
        <v>2.10835282873108E-5</v>
      </c>
      <c r="AO58" s="138">
        <v>0</v>
      </c>
      <c r="AP58" s="138">
        <v>5.5602127384345502E-8</v>
      </c>
      <c r="AQ58" s="138">
        <v>2.1139130414695101E-5</v>
      </c>
      <c r="AR58" s="138">
        <v>1.7899551428320201E-4</v>
      </c>
      <c r="AS58" s="138">
        <v>1.94418961097271E-3</v>
      </c>
      <c r="AT58" s="138">
        <v>2.1443242556706101E-3</v>
      </c>
      <c r="AU58" s="138">
        <v>1.93855260091381E-5</v>
      </c>
      <c r="AV58" s="138">
        <v>0</v>
      </c>
      <c r="AW58" s="138">
        <v>5.1124103702384798E-8</v>
      </c>
      <c r="AX58" s="138">
        <v>1.9436650112840499E-5</v>
      </c>
      <c r="AY58" s="138">
        <v>4.4748878570800501E-5</v>
      </c>
      <c r="AZ58" s="138">
        <v>8.3322411898830503E-4</v>
      </c>
      <c r="BA58" s="138">
        <v>8.9740964767194597E-4</v>
      </c>
      <c r="BB58" s="138">
        <v>2.19949383235548E-4</v>
      </c>
      <c r="BC58" s="138">
        <v>0</v>
      </c>
      <c r="BD58" s="138">
        <v>3.7209161640625299E-8</v>
      </c>
      <c r="BE58" s="138">
        <v>2.1998659239718901E-4</v>
      </c>
      <c r="BF58" s="138">
        <v>1.88951545218533E-4</v>
      </c>
      <c r="BG58" s="138">
        <v>0</v>
      </c>
      <c r="BH58" s="138">
        <v>6.6020508420281004E-6</v>
      </c>
      <c r="BI58" s="138">
        <v>1.9555359606056099E-4</v>
      </c>
      <c r="BJ58" s="140">
        <v>2.3464767227022199</v>
      </c>
    </row>
    <row r="59" spans="1:62">
      <c r="A59" s="134" t="s">
        <v>264</v>
      </c>
      <c r="B59" s="135">
        <v>2030</v>
      </c>
      <c r="C59" s="135" t="s">
        <v>136</v>
      </c>
      <c r="D59" s="135" t="s">
        <v>131</v>
      </c>
      <c r="E59" s="135" t="s">
        <v>131</v>
      </c>
      <c r="F59" s="135" t="s">
        <v>130</v>
      </c>
      <c r="G59" s="135">
        <v>348.08593422029202</v>
      </c>
      <c r="H59" s="138">
        <v>15996.1992229752</v>
      </c>
      <c r="I59" s="138">
        <v>6964.5033718796203</v>
      </c>
      <c r="J59" s="138">
        <v>3.4776033338299598E-4</v>
      </c>
      <c r="K59" s="138">
        <v>2.8724265216802997E-4</v>
      </c>
      <c r="L59" s="138">
        <v>9.6890478659643396E-4</v>
      </c>
      <c r="M59" s="138">
        <v>1.60390777214746E-3</v>
      </c>
      <c r="N59" s="138">
        <v>1.0331322581027701E-5</v>
      </c>
      <c r="O59" s="138">
        <v>1.73095098579494E-4</v>
      </c>
      <c r="P59" s="138">
        <v>2.1511030593594298E-3</v>
      </c>
      <c r="Q59" s="138">
        <v>5.7105139944059197E-6</v>
      </c>
      <c r="R59" s="138">
        <v>3.9441477666618202E-3</v>
      </c>
      <c r="S59" s="138">
        <v>5.0745106213391197E-4</v>
      </c>
      <c r="T59" s="138">
        <v>4.1914380376527501E-4</v>
      </c>
      <c r="U59" s="138">
        <v>1.0608287831420399E-3</v>
      </c>
      <c r="V59" s="138">
        <v>1.9874236490412299E-3</v>
      </c>
      <c r="W59" s="138">
        <v>1.0331322581027701E-5</v>
      </c>
      <c r="X59" s="138">
        <v>1.7309509857942201E-4</v>
      </c>
      <c r="Y59" s="138">
        <v>2.1511030593585499E-3</v>
      </c>
      <c r="Z59" s="138">
        <v>5.7105139944059197E-6</v>
      </c>
      <c r="AA59" s="138">
        <v>4.32766364355464E-3</v>
      </c>
      <c r="AB59" s="138">
        <v>7.0079278033773696E-3</v>
      </c>
      <c r="AC59" s="138">
        <v>2.2211160646266001E-3</v>
      </c>
      <c r="AD59" s="138">
        <v>1.9909851685073501E-2</v>
      </c>
      <c r="AE59" s="138">
        <v>2.9138895553077498E-2</v>
      </c>
      <c r="AF59" s="138">
        <v>2.7680314874151701E-3</v>
      </c>
      <c r="AG59" s="138">
        <v>2.50234209310321E-5</v>
      </c>
      <c r="AH59" s="138">
        <v>2.2642367644992098E-3</v>
      </c>
      <c r="AI59" s="138">
        <v>5.0572916728454202E-3</v>
      </c>
      <c r="AJ59" s="138">
        <v>27.0364069220674</v>
      </c>
      <c r="AK59" s="138">
        <v>0.130181318794128</v>
      </c>
      <c r="AL59" s="138">
        <v>0.17688430248628501</v>
      </c>
      <c r="AM59" s="138">
        <v>27.343472543347801</v>
      </c>
      <c r="AN59" s="138">
        <v>2.3136703167352101E-5</v>
      </c>
      <c r="AO59" s="138">
        <v>0</v>
      </c>
      <c r="AP59" s="138">
        <v>2.15966428682984E-6</v>
      </c>
      <c r="AQ59" s="138">
        <v>2.5296367454181899E-5</v>
      </c>
      <c r="AR59" s="138">
        <v>2.1159349602342599E-4</v>
      </c>
      <c r="AS59" s="138">
        <v>2.29825802264111E-3</v>
      </c>
      <c r="AT59" s="138">
        <v>2.5351478861187198E-3</v>
      </c>
      <c r="AU59" s="138">
        <v>2.12733445230016E-5</v>
      </c>
      <c r="AV59" s="138">
        <v>0</v>
      </c>
      <c r="AW59" s="138">
        <v>1.9857315925885102E-6</v>
      </c>
      <c r="AX59" s="138">
        <v>2.32590761155901E-5</v>
      </c>
      <c r="AY59" s="138">
        <v>5.28983740058566E-5</v>
      </c>
      <c r="AZ59" s="138">
        <v>9.8496772398904992E-4</v>
      </c>
      <c r="BA59" s="138">
        <v>1.0611251741104899E-3</v>
      </c>
      <c r="BB59" s="138">
        <v>2.6754716371813901E-4</v>
      </c>
      <c r="BC59" s="138">
        <v>1.28824968172925E-6</v>
      </c>
      <c r="BD59" s="138">
        <v>1.750413565415E-6</v>
      </c>
      <c r="BE59" s="138">
        <v>2.7058582696528298E-4</v>
      </c>
      <c r="BF59" s="138">
        <v>1.9855914173853999E-4</v>
      </c>
      <c r="BG59" s="138">
        <v>2.3328747049838299E-6</v>
      </c>
      <c r="BH59" s="138">
        <v>2.03575498979143E-4</v>
      </c>
      <c r="BI59" s="138">
        <v>4.0446751542266699E-4</v>
      </c>
      <c r="BJ59" s="140">
        <v>2.8861910971410798</v>
      </c>
    </row>
    <row r="60" spans="1:62">
      <c r="A60" s="134" t="s">
        <v>264</v>
      </c>
      <c r="B60" s="135">
        <v>2030</v>
      </c>
      <c r="C60" s="135" t="s">
        <v>135</v>
      </c>
      <c r="D60" s="135" t="s">
        <v>131</v>
      </c>
      <c r="E60" s="135" t="s">
        <v>131</v>
      </c>
      <c r="F60" s="135" t="s">
        <v>130</v>
      </c>
      <c r="G60" s="135">
        <v>164.20057663698401</v>
      </c>
      <c r="H60" s="138">
        <v>6933.1077187149303</v>
      </c>
      <c r="I60" s="138">
        <v>656.80230654793695</v>
      </c>
      <c r="J60" s="138">
        <v>2.5334253565192298E-4</v>
      </c>
      <c r="K60" s="138">
        <v>1.9261158597471001E-3</v>
      </c>
      <c r="L60" s="138">
        <v>2.2058915223717801E-4</v>
      </c>
      <c r="M60" s="138">
        <v>2.4000475476362E-3</v>
      </c>
      <c r="N60" s="138">
        <v>2.8620921977731501E-6</v>
      </c>
      <c r="O60" s="138">
        <v>3.2649875369931101E-5</v>
      </c>
      <c r="P60" s="138">
        <v>2.15213491082308E-4</v>
      </c>
      <c r="Q60" s="138">
        <v>1.59114256386648E-6</v>
      </c>
      <c r="R60" s="138">
        <v>2.6523641488500802E-3</v>
      </c>
      <c r="S60" s="138">
        <v>3.6967683332268401E-4</v>
      </c>
      <c r="T60" s="138">
        <v>2.8105837411456498E-3</v>
      </c>
      <c r="U60" s="138">
        <v>2.4151735565691699E-4</v>
      </c>
      <c r="V60" s="138">
        <v>3.4217779301252498E-3</v>
      </c>
      <c r="W60" s="138">
        <v>2.8620921977731501E-6</v>
      </c>
      <c r="X60" s="138">
        <v>3.2649875369917698E-5</v>
      </c>
      <c r="Y60" s="138">
        <v>2.1521349108221999E-4</v>
      </c>
      <c r="Z60" s="138">
        <v>1.59114256386648E-6</v>
      </c>
      <c r="AA60" s="138">
        <v>3.6740945313390302E-3</v>
      </c>
      <c r="AB60" s="138">
        <v>5.4173878359436503E-3</v>
      </c>
      <c r="AC60" s="138">
        <v>1.4885607147578301E-2</v>
      </c>
      <c r="AD60" s="138">
        <v>5.6353088025221801E-3</v>
      </c>
      <c r="AE60" s="138">
        <v>2.5938303786044201E-2</v>
      </c>
      <c r="AF60" s="138">
        <v>2.07601671803735E-3</v>
      </c>
      <c r="AG60" s="138">
        <v>1.6770209590864801E-4</v>
      </c>
      <c r="AH60" s="138">
        <v>3.3605546197902598E-4</v>
      </c>
      <c r="AI60" s="138">
        <v>2.5797742759250202E-3</v>
      </c>
      <c r="AJ60" s="138">
        <v>5.7392509732967598</v>
      </c>
      <c r="AK60" s="138">
        <v>0.41019987836266603</v>
      </c>
      <c r="AL60" s="138">
        <v>3.0978130239815299E-2</v>
      </c>
      <c r="AM60" s="138">
        <v>6.1804289818992402</v>
      </c>
      <c r="AN60" s="138">
        <v>1.22779650792422E-5</v>
      </c>
      <c r="AO60" s="138">
        <v>0</v>
      </c>
      <c r="AP60" s="138">
        <v>5.2926252461354796E-7</v>
      </c>
      <c r="AQ60" s="138">
        <v>1.2807227603855801E-5</v>
      </c>
      <c r="AR60" s="138">
        <v>6.1139544465573198E-5</v>
      </c>
      <c r="AS60" s="138">
        <v>5.6920915148489203E-3</v>
      </c>
      <c r="AT60" s="138">
        <v>5.7660382869183504E-3</v>
      </c>
      <c r="AU60" s="138">
        <v>1.12891356768871E-5</v>
      </c>
      <c r="AV60" s="138">
        <v>0</v>
      </c>
      <c r="AW60" s="138">
        <v>4.8663735484601397E-7</v>
      </c>
      <c r="AX60" s="138">
        <v>1.1775773031733199E-5</v>
      </c>
      <c r="AY60" s="138">
        <v>1.5284886116393299E-5</v>
      </c>
      <c r="AZ60" s="138">
        <v>2.43946779207811E-3</v>
      </c>
      <c r="BA60" s="138">
        <v>2.4665284512262299E-3</v>
      </c>
      <c r="BB60" s="138">
        <v>5.6794540938752002E-5</v>
      </c>
      <c r="BC60" s="138">
        <v>4.0592603273728504E-6</v>
      </c>
      <c r="BD60" s="138">
        <v>3.06553711328737E-7</v>
      </c>
      <c r="BE60" s="138">
        <v>6.1160354977453604E-5</v>
      </c>
      <c r="BF60" s="138">
        <v>1.29057565941027E-4</v>
      </c>
      <c r="BG60" s="138">
        <v>1.7371500679756E-5</v>
      </c>
      <c r="BH60" s="138">
        <v>3.37444267417481E-5</v>
      </c>
      <c r="BI60" s="138">
        <v>1.80173493362531E-4</v>
      </c>
      <c r="BJ60" s="140">
        <v>0.65236407247805595</v>
      </c>
    </row>
    <row r="61" spans="1:62">
      <c r="A61" s="134" t="s">
        <v>264</v>
      </c>
      <c r="B61" s="135">
        <v>2030</v>
      </c>
      <c r="C61" s="135" t="s">
        <v>134</v>
      </c>
      <c r="D61" s="135" t="s">
        <v>131</v>
      </c>
      <c r="E61" s="135" t="s">
        <v>131</v>
      </c>
      <c r="F61" s="135" t="s">
        <v>130</v>
      </c>
      <c r="G61" s="135">
        <v>1367.62302066901</v>
      </c>
      <c r="H61" s="138">
        <v>69688.291587795</v>
      </c>
      <c r="I61" s="138">
        <v>27363.401397545498</v>
      </c>
      <c r="J61" s="138">
        <v>1.2465238189543E-3</v>
      </c>
      <c r="K61" s="138">
        <v>1.5472058873852799E-3</v>
      </c>
      <c r="L61" s="138">
        <v>4.7385060426266799E-3</v>
      </c>
      <c r="M61" s="138">
        <v>7.5322357489662596E-3</v>
      </c>
      <c r="N61" s="138">
        <v>2.4453866787858799E-5</v>
      </c>
      <c r="O61" s="138">
        <v>1.4051325691812799E-3</v>
      </c>
      <c r="P61" s="138">
        <v>7.2388233271931399E-3</v>
      </c>
      <c r="Q61" s="138">
        <v>1.76556237727823E-5</v>
      </c>
      <c r="R61" s="138">
        <v>1.6218301135901302E-2</v>
      </c>
      <c r="S61" s="138">
        <v>1.81892463050678E-3</v>
      </c>
      <c r="T61" s="138">
        <v>2.2576791989350302E-3</v>
      </c>
      <c r="U61" s="138">
        <v>5.1880676704764801E-3</v>
      </c>
      <c r="V61" s="138">
        <v>9.2646714999182998E-3</v>
      </c>
      <c r="W61" s="138">
        <v>2.4453866787858799E-5</v>
      </c>
      <c r="X61" s="138">
        <v>1.4051325691807001E-3</v>
      </c>
      <c r="Y61" s="138">
        <v>7.2388233271901596E-3</v>
      </c>
      <c r="Z61" s="138">
        <v>1.76556237727823E-5</v>
      </c>
      <c r="AA61" s="138">
        <v>1.79507368868498E-2</v>
      </c>
      <c r="AB61" s="138">
        <v>2.4622117561250101E-2</v>
      </c>
      <c r="AC61" s="138">
        <v>2.3026928131350599E-2</v>
      </c>
      <c r="AD61" s="138">
        <v>9.9372438185988302E-2</v>
      </c>
      <c r="AE61" s="138">
        <v>0.14702148387858899</v>
      </c>
      <c r="AF61" s="138">
        <v>9.6526225501724402E-3</v>
      </c>
      <c r="AG61" s="138">
        <v>1.3477693375253699E-4</v>
      </c>
      <c r="AH61" s="138">
        <v>9.9224383707904092E-3</v>
      </c>
      <c r="AI61" s="138">
        <v>1.97098378547154E-2</v>
      </c>
      <c r="AJ61" s="138">
        <v>115.777916607897</v>
      </c>
      <c r="AK61" s="138">
        <v>0.71484846793921897</v>
      </c>
      <c r="AL61" s="138">
        <v>0.98700925209583901</v>
      </c>
      <c r="AM61" s="138">
        <v>117.47977432793201</v>
      </c>
      <c r="AN61" s="138">
        <v>1.06493859365134E-4</v>
      </c>
      <c r="AO61" s="138">
        <v>0</v>
      </c>
      <c r="AP61" s="138">
        <v>1.28754759902297E-5</v>
      </c>
      <c r="AQ61" s="138">
        <v>1.19369335355364E-4</v>
      </c>
      <c r="AR61" s="138">
        <v>9.2181830467468005E-4</v>
      </c>
      <c r="AS61" s="138">
        <v>1.0012483152608101E-2</v>
      </c>
      <c r="AT61" s="138">
        <v>1.10536707926382E-2</v>
      </c>
      <c r="AU61" s="138">
        <v>9.7917172704855399E-5</v>
      </c>
      <c r="AV61" s="138">
        <v>0</v>
      </c>
      <c r="AW61" s="138">
        <v>1.1838524903768299E-5</v>
      </c>
      <c r="AX61" s="138">
        <v>1.09755697608623E-4</v>
      </c>
      <c r="AY61" s="138">
        <v>2.3045457616867001E-4</v>
      </c>
      <c r="AZ61" s="138">
        <v>4.2910642082606299E-3</v>
      </c>
      <c r="BA61" s="138">
        <v>4.6312744820379299E-3</v>
      </c>
      <c r="BB61" s="138">
        <v>1.14571634089273E-3</v>
      </c>
      <c r="BC61" s="138">
        <v>7.0740050864262604E-6</v>
      </c>
      <c r="BD61" s="138">
        <v>9.7672566744165096E-6</v>
      </c>
      <c r="BE61" s="138">
        <v>1.1625576026535801E-3</v>
      </c>
      <c r="BF61" s="138">
        <v>7.6628174735650096E-4</v>
      </c>
      <c r="BG61" s="138">
        <v>1.2799913831239499E-5</v>
      </c>
      <c r="BH61" s="138">
        <v>9.1689473497483698E-4</v>
      </c>
      <c r="BI61" s="138">
        <v>1.6959763961625701E-3</v>
      </c>
      <c r="BJ61" s="140">
        <v>12.4003664209764</v>
      </c>
    </row>
    <row r="62" spans="1:62">
      <c r="A62" s="134" t="s">
        <v>264</v>
      </c>
      <c r="B62" s="135">
        <v>2030</v>
      </c>
      <c r="C62" s="135" t="s">
        <v>133</v>
      </c>
      <c r="D62" s="135" t="s">
        <v>131</v>
      </c>
      <c r="E62" s="135" t="s">
        <v>131</v>
      </c>
      <c r="F62" s="135" t="s">
        <v>130</v>
      </c>
      <c r="G62" s="135">
        <v>5.1134137468186003</v>
      </c>
      <c r="H62" s="138">
        <v>649.11269370378704</v>
      </c>
      <c r="I62" s="138">
        <v>102.309182246346</v>
      </c>
      <c r="J62" s="138">
        <v>2.1219363896680699E-4</v>
      </c>
      <c r="K62" s="138">
        <v>0</v>
      </c>
      <c r="L62" s="138">
        <v>1.8742168455385101E-7</v>
      </c>
      <c r="M62" s="138">
        <v>2.1238106065136101E-4</v>
      </c>
      <c r="N62" s="138">
        <v>8.2241797554108501E-8</v>
      </c>
      <c r="O62" s="138">
        <v>4.2069204881618901E-6</v>
      </c>
      <c r="P62" s="138">
        <v>2.0755796696080002E-5</v>
      </c>
      <c r="Q62" s="138">
        <v>6.2106847509042399E-8</v>
      </c>
      <c r="R62" s="138">
        <v>2.37488126480666E-4</v>
      </c>
      <c r="S62" s="138">
        <v>3.0963245987338699E-4</v>
      </c>
      <c r="T62" s="138">
        <v>0</v>
      </c>
      <c r="U62" s="138">
        <v>2.05203153405936E-7</v>
      </c>
      <c r="V62" s="138">
        <v>3.0983766302679301E-4</v>
      </c>
      <c r="W62" s="138">
        <v>8.2241797554108501E-8</v>
      </c>
      <c r="X62" s="138">
        <v>4.2069204881601596E-6</v>
      </c>
      <c r="Y62" s="138">
        <v>2.0755796696071501E-5</v>
      </c>
      <c r="Z62" s="138">
        <v>6.2106847509042399E-8</v>
      </c>
      <c r="AA62" s="138">
        <v>3.34944728856088E-4</v>
      </c>
      <c r="AB62" s="138">
        <v>2.0298716872857801E-2</v>
      </c>
      <c r="AC62" s="138">
        <v>0</v>
      </c>
      <c r="AD62" s="138">
        <v>5.79935123055916E-4</v>
      </c>
      <c r="AE62" s="138">
        <v>2.08786519959137E-2</v>
      </c>
      <c r="AF62" s="138">
        <v>2.05574631462254E-3</v>
      </c>
      <c r="AG62" s="138">
        <v>0</v>
      </c>
      <c r="AH62" s="138">
        <v>8.3617093630480402E-7</v>
      </c>
      <c r="AI62" s="138">
        <v>2.05658248555885E-3</v>
      </c>
      <c r="AJ62" s="138">
        <v>1.21706738686469</v>
      </c>
      <c r="AK62" s="138">
        <v>0</v>
      </c>
      <c r="AL62" s="138">
        <v>4.5578725906111903E-3</v>
      </c>
      <c r="AM62" s="138">
        <v>1.2216252594553001</v>
      </c>
      <c r="AN62" s="138">
        <v>8.0878550230065595E-7</v>
      </c>
      <c r="AO62" s="138">
        <v>0</v>
      </c>
      <c r="AP62" s="138">
        <v>4.4902300668335197E-8</v>
      </c>
      <c r="AQ62" s="138">
        <v>8.5368780296899096E-7</v>
      </c>
      <c r="AR62" s="138">
        <v>1.4310485286685599E-5</v>
      </c>
      <c r="AS62" s="138">
        <v>4.41764680799985E-5</v>
      </c>
      <c r="AT62" s="138">
        <v>5.9340641169653203E-5</v>
      </c>
      <c r="AU62" s="138">
        <v>7.4364841486704604E-7</v>
      </c>
      <c r="AV62" s="138">
        <v>0</v>
      </c>
      <c r="AW62" s="138">
        <v>4.1286007997059901E-8</v>
      </c>
      <c r="AX62" s="138">
        <v>7.8493442286410598E-7</v>
      </c>
      <c r="AY62" s="138">
        <v>3.57762132167141E-6</v>
      </c>
      <c r="AZ62" s="138">
        <v>1.8932772034285101E-5</v>
      </c>
      <c r="BA62" s="138">
        <v>2.3295327778820599E-5</v>
      </c>
      <c r="BB62" s="138">
        <v>1.20438684159513E-5</v>
      </c>
      <c r="BC62" s="138">
        <v>0</v>
      </c>
      <c r="BD62" s="138">
        <v>4.5103844150656901E-8</v>
      </c>
      <c r="BE62" s="138">
        <v>1.2088972260101999E-5</v>
      </c>
      <c r="BF62" s="138">
        <v>9.1112468449901406E-5</v>
      </c>
      <c r="BG62" s="138">
        <v>0</v>
      </c>
      <c r="BH62" s="138">
        <v>4.0822286872359098E-8</v>
      </c>
      <c r="BI62" s="138">
        <v>9.1153290736773794E-5</v>
      </c>
      <c r="BJ62" s="140">
        <v>0.12894645851191699</v>
      </c>
    </row>
    <row r="63" spans="1:62" ht="14.5" thickBot="1">
      <c r="A63" s="136" t="s">
        <v>264</v>
      </c>
      <c r="B63" s="137">
        <v>2030</v>
      </c>
      <c r="C63" s="137" t="s">
        <v>132</v>
      </c>
      <c r="D63" s="137" t="s">
        <v>131</v>
      </c>
      <c r="E63" s="137" t="s">
        <v>131</v>
      </c>
      <c r="F63" s="137" t="s">
        <v>130</v>
      </c>
      <c r="G63" s="137">
        <v>38.3973742638603</v>
      </c>
      <c r="H63" s="139">
        <v>930.23469966320101</v>
      </c>
      <c r="I63" s="139">
        <v>153.589497055441</v>
      </c>
      <c r="J63" s="139">
        <v>1.90427707580457E-5</v>
      </c>
      <c r="K63" s="139">
        <v>0</v>
      </c>
      <c r="L63" s="139">
        <v>6.5272293538480098E-5</v>
      </c>
      <c r="M63" s="139">
        <v>8.4315064296525794E-5</v>
      </c>
      <c r="N63" s="139">
        <v>2.29755246106601E-7</v>
      </c>
      <c r="O63" s="139">
        <v>2.8386935153553802E-6</v>
      </c>
      <c r="P63" s="139">
        <v>1.6039305978034901E-5</v>
      </c>
      <c r="Q63" s="139">
        <v>1.42508295431725E-7</v>
      </c>
      <c r="R63" s="139">
        <v>1.03565327331454E-4</v>
      </c>
      <c r="S63" s="139">
        <v>2.7787166388814399E-5</v>
      </c>
      <c r="T63" s="139">
        <v>0</v>
      </c>
      <c r="U63" s="139">
        <v>7.1464945457181301E-5</v>
      </c>
      <c r="V63" s="139">
        <v>9.9252111845995794E-5</v>
      </c>
      <c r="W63" s="139">
        <v>2.29755246106601E-7</v>
      </c>
      <c r="X63" s="139">
        <v>2.83869351535421E-6</v>
      </c>
      <c r="Y63" s="139">
        <v>1.6039305978028301E-5</v>
      </c>
      <c r="Z63" s="139">
        <v>1.42508295431725E-7</v>
      </c>
      <c r="AA63" s="139">
        <v>1.1850237488091599E-4</v>
      </c>
      <c r="AB63" s="139">
        <v>2.6864598840526998E-4</v>
      </c>
      <c r="AC63" s="139">
        <v>0</v>
      </c>
      <c r="AD63" s="139">
        <v>1.3943753032405199E-3</v>
      </c>
      <c r="AE63" s="139">
        <v>1.66302129164579E-3</v>
      </c>
      <c r="AF63" s="139">
        <v>1.69859186444269E-4</v>
      </c>
      <c r="AG63" s="139">
        <v>0</v>
      </c>
      <c r="AH63" s="139">
        <v>1.12289161629447E-4</v>
      </c>
      <c r="AI63" s="139">
        <v>2.8214834807371701E-4</v>
      </c>
      <c r="AJ63" s="139">
        <v>1.6184720801595001</v>
      </c>
      <c r="AK63" s="139">
        <v>0</v>
      </c>
      <c r="AL63" s="139">
        <v>1.27090764137806E-2</v>
      </c>
      <c r="AM63" s="139">
        <v>1.6311811565732799</v>
      </c>
      <c r="AN63" s="139">
        <v>2.4261432581236998E-6</v>
      </c>
      <c r="AO63" s="139">
        <v>0</v>
      </c>
      <c r="AP63" s="139">
        <v>1.54003579900471E-7</v>
      </c>
      <c r="AQ63" s="139">
        <v>2.58014683802417E-6</v>
      </c>
      <c r="AR63" s="139">
        <v>1.13600839290621E-5</v>
      </c>
      <c r="AS63" s="139">
        <v>1.23929566340388E-4</v>
      </c>
      <c r="AT63" s="139">
        <v>1.3786979710747499E-4</v>
      </c>
      <c r="AU63" s="139">
        <v>2.23074917022112E-6</v>
      </c>
      <c r="AV63" s="139">
        <v>0</v>
      </c>
      <c r="AW63" s="139">
        <v>1.41600607022581E-7</v>
      </c>
      <c r="AX63" s="139">
        <v>2.3723497772437E-6</v>
      </c>
      <c r="AY63" s="139">
        <v>2.8400209822655402E-6</v>
      </c>
      <c r="AZ63" s="139">
        <v>5.3112671288737897E-5</v>
      </c>
      <c r="BA63" s="139">
        <v>5.8325042048247203E-5</v>
      </c>
      <c r="BB63" s="139">
        <v>1.6016093257208502E-5</v>
      </c>
      <c r="BC63" s="139">
        <v>0</v>
      </c>
      <c r="BD63" s="139">
        <v>1.25766613802841E-7</v>
      </c>
      <c r="BE63" s="139">
        <v>1.61418598710114E-5</v>
      </c>
      <c r="BF63" s="139">
        <v>1.4888658186674E-5</v>
      </c>
      <c r="BG63" s="139">
        <v>0</v>
      </c>
      <c r="BH63" s="139">
        <v>9.7136717768862903E-6</v>
      </c>
      <c r="BI63" s="139">
        <v>2.4602329963560299E-5</v>
      </c>
      <c r="BJ63" s="141">
        <v>0.17217639509621999</v>
      </c>
    </row>
    <row r="64" spans="1:62" ht="14.5" thickBot="1"/>
    <row r="65" spans="6:64" ht="14.5" thickBot="1">
      <c r="F65" s="1307" t="s">
        <v>282</v>
      </c>
      <c r="G65" s="1308"/>
      <c r="H65" s="1308"/>
      <c r="I65" s="1308"/>
      <c r="J65" s="1308"/>
      <c r="K65" s="1308"/>
      <c r="L65" s="1308"/>
      <c r="M65" s="1308"/>
      <c r="N65" s="1308"/>
      <c r="O65" s="1308"/>
      <c r="P65" s="1308"/>
      <c r="Q65" s="1308"/>
      <c r="R65" s="1308"/>
      <c r="S65" s="1308"/>
      <c r="T65" s="1308"/>
      <c r="U65" s="1308"/>
      <c r="V65" s="1308"/>
      <c r="W65" s="1308"/>
      <c r="X65" s="1308"/>
      <c r="Y65" s="1308"/>
      <c r="Z65" s="1308"/>
      <c r="AA65" s="1308"/>
      <c r="AB65" s="1308"/>
      <c r="AC65" s="1308"/>
      <c r="AD65" s="1308"/>
      <c r="AE65" s="1308"/>
      <c r="AF65" s="1308"/>
      <c r="AG65" s="1308"/>
      <c r="AH65" s="1308"/>
      <c r="AI65" s="1308"/>
      <c r="AJ65" s="1308"/>
      <c r="AK65" s="1308"/>
      <c r="AL65" s="1308"/>
      <c r="AM65" s="1308"/>
      <c r="AN65" s="1308"/>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9"/>
    </row>
    <row r="66" spans="6:64">
      <c r="F66" s="72" t="s">
        <v>129</v>
      </c>
      <c r="G66" s="71"/>
      <c r="H66" s="70" t="s">
        <v>128</v>
      </c>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t="s">
        <v>127</v>
      </c>
      <c r="BG66" s="70" t="s">
        <v>126</v>
      </c>
      <c r="BH66" s="69" t="s">
        <v>235</v>
      </c>
      <c r="BJ66" s="70" t="s">
        <v>127</v>
      </c>
      <c r="BK66" s="90" t="s">
        <v>126</v>
      </c>
      <c r="BL66" s="69" t="s">
        <v>235</v>
      </c>
    </row>
    <row r="67" spans="6:64">
      <c r="F67" s="68" t="s">
        <v>125</v>
      </c>
      <c r="G67" s="42"/>
      <c r="H67" s="92">
        <f>SUM(H10:H46)</f>
        <v>1262141.5736826228</v>
      </c>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f>SUM(BF13:BF49)*1000</f>
        <v>141.99620492754212</v>
      </c>
      <c r="BG67" s="75">
        <f>H67/BF67</f>
        <v>8888.5584958180316</v>
      </c>
      <c r="BH67" s="73">
        <f>H67/SUM(H67:H68)</f>
        <v>6.4553327650836406E-2</v>
      </c>
      <c r="BJ67" s="9">
        <f>SUM(BJ10:BJ46)*1000</f>
        <v>86853.986378627756</v>
      </c>
      <c r="BK67" s="91">
        <f>H67/BJ67</f>
        <v>14.531763322646974</v>
      </c>
      <c r="BL67" s="73">
        <f>H67/$H$70</f>
        <v>6.4553327650836406E-2</v>
      </c>
    </row>
    <row r="68" spans="6:64">
      <c r="F68" s="68" t="s">
        <v>124</v>
      </c>
      <c r="G68" s="42"/>
      <c r="H68" s="9">
        <f>SUM(H47:H63)</f>
        <v>18289779.599296127</v>
      </c>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f>SUM(BF50:BF63)*1000</f>
        <v>72.674958119006234</v>
      </c>
      <c r="BG68" s="75">
        <f>H68/BF68</f>
        <v>251665.49899273919</v>
      </c>
      <c r="BH68" s="73">
        <f>H68/SUM(H67:H68)</f>
        <v>0.93544667234916368</v>
      </c>
      <c r="BJ68" s="9">
        <f>SUM(BJ47:BJ63)*1000</f>
        <v>548518.95948129613</v>
      </c>
      <c r="BK68" s="91">
        <f>H68/BJ68</f>
        <v>33.343933301032571</v>
      </c>
      <c r="BL68" s="73">
        <f>H68/$H$70</f>
        <v>0.93544667234916368</v>
      </c>
    </row>
    <row r="69" spans="6:64" ht="14.5" thickBot="1">
      <c r="F69" s="85" t="s">
        <v>234</v>
      </c>
      <c r="G69" s="86"/>
      <c r="H69" s="87">
        <f>SUM(H47:H50)</f>
        <v>728425.89779298939</v>
      </c>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t="s">
        <v>27</v>
      </c>
      <c r="BG69" s="76" t="s">
        <v>27</v>
      </c>
      <c r="BH69" s="74">
        <f>H69/SUM(H67:H68)</f>
        <v>3.7255975581555252E-2</v>
      </c>
      <c r="BJ69" s="66" t="s">
        <v>27</v>
      </c>
      <c r="BK69" s="76" t="s">
        <v>27</v>
      </c>
      <c r="BL69" s="74">
        <f>H69/$H$70</f>
        <v>3.7255975581555252E-2</v>
      </c>
    </row>
    <row r="70" spans="6:64" ht="14.5" thickBot="1">
      <c r="F70" s="26" t="s">
        <v>265</v>
      </c>
      <c r="G70" s="67"/>
      <c r="H70" s="88">
        <f>SUM(H67:H68)</f>
        <v>19551921.172978748</v>
      </c>
    </row>
    <row r="72" spans="6:64">
      <c r="BL72" s="89"/>
    </row>
  </sheetData>
  <mergeCells count="1">
    <mergeCell ref="F65:BL65"/>
  </mergeCells>
  <pageMargins left="0.7" right="0.7" top="0.75" bottom="0.75" header="0.3" footer="0.3"/>
  <pageSetup orientation="portrait" r:id="rId1"/>
  <ignoredErrors>
    <ignoredError sqref="H69:BJ69 I67:BJ67 I68:BJ6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12ECA-EF7F-40B8-9DD1-B1EE2202FC55}">
  <sheetPr>
    <tabColor theme="0" tint="-0.34998626667073579"/>
  </sheetPr>
  <dimension ref="A1:BQ73"/>
  <sheetViews>
    <sheetView topLeftCell="A53" workbookViewId="0">
      <selection activeCell="BS69" sqref="BS69"/>
    </sheetView>
  </sheetViews>
  <sheetFormatPr defaultColWidth="9.08203125" defaultRowHeight="14"/>
  <cols>
    <col min="1" max="4" width="9.08203125" style="601"/>
    <col min="5" max="5" width="9.9140625" style="601" customWidth="1"/>
    <col min="6" max="6" width="15.08203125" style="601" customWidth="1"/>
    <col min="7" max="7" width="0" style="601" hidden="1" customWidth="1"/>
    <col min="8" max="8" width="10.08203125" style="601" customWidth="1"/>
    <col min="9" max="57" width="9.08203125" style="601" hidden="1" customWidth="1"/>
    <col min="58" max="58" width="12.83203125" style="601" hidden="1" customWidth="1"/>
    <col min="59" max="59" width="11.9140625" style="601" hidden="1" customWidth="1"/>
    <col min="60" max="60" width="12.08203125" style="601" hidden="1" customWidth="1"/>
    <col min="61" max="65" width="9.08203125" style="601" hidden="1" customWidth="1"/>
    <col min="66" max="67" width="9.08203125" style="601"/>
    <col min="68" max="68" width="11.9140625" style="601" customWidth="1"/>
    <col min="69" max="16384" width="9.08203125" style="601"/>
  </cols>
  <sheetData>
    <row r="1" spans="1:67">
      <c r="A1" s="601" t="s">
        <v>566</v>
      </c>
    </row>
    <row r="2" spans="1:67">
      <c r="A2" s="601" t="s">
        <v>231</v>
      </c>
    </row>
    <row r="3" spans="1:67">
      <c r="A3" s="601" t="s">
        <v>567</v>
      </c>
    </row>
    <row r="4" spans="1:67">
      <c r="A4" s="601" t="s">
        <v>568</v>
      </c>
    </row>
    <row r="5" spans="1:67">
      <c r="A5" s="601" t="s">
        <v>230</v>
      </c>
    </row>
    <row r="6" spans="1:67">
      <c r="A6" s="601" t="s">
        <v>229</v>
      </c>
    </row>
    <row r="7" spans="1:67">
      <c r="A7" s="601" t="s">
        <v>228</v>
      </c>
    </row>
    <row r="8" spans="1:67" ht="14.5" thickBot="1">
      <c r="A8" s="603"/>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c r="BM8" s="603"/>
      <c r="BN8" s="603"/>
    </row>
    <row r="9" spans="1:67" ht="14.5" thickBot="1">
      <c r="A9" s="618" t="s">
        <v>227</v>
      </c>
      <c r="B9" s="619" t="s">
        <v>256</v>
      </c>
      <c r="C9" s="619" t="s">
        <v>257</v>
      </c>
      <c r="D9" s="619" t="s">
        <v>258</v>
      </c>
      <c r="E9" s="619" t="s">
        <v>226</v>
      </c>
      <c r="F9" s="619" t="s">
        <v>225</v>
      </c>
      <c r="G9" s="619" t="s">
        <v>224</v>
      </c>
      <c r="H9" s="619" t="s">
        <v>128</v>
      </c>
      <c r="I9" s="619" t="s">
        <v>223</v>
      </c>
      <c r="J9" s="619" t="s">
        <v>200</v>
      </c>
      <c r="K9" s="619" t="s">
        <v>199</v>
      </c>
      <c r="L9" s="619" t="s">
        <v>198</v>
      </c>
      <c r="M9" s="619" t="s">
        <v>197</v>
      </c>
      <c r="N9" s="619" t="s">
        <v>573</v>
      </c>
      <c r="O9" s="619" t="s">
        <v>574</v>
      </c>
      <c r="P9" s="619" t="s">
        <v>575</v>
      </c>
      <c r="Q9" s="619" t="s">
        <v>576</v>
      </c>
      <c r="R9" s="619" t="s">
        <v>577</v>
      </c>
      <c r="S9" s="619" t="s">
        <v>578</v>
      </c>
      <c r="T9" s="619" t="s">
        <v>579</v>
      </c>
      <c r="U9" s="619" t="s">
        <v>192</v>
      </c>
      <c r="V9" s="619" t="s">
        <v>191</v>
      </c>
      <c r="W9" s="619" t="s">
        <v>190</v>
      </c>
      <c r="X9" s="619" t="s">
        <v>189</v>
      </c>
      <c r="Y9" s="619" t="s">
        <v>188</v>
      </c>
      <c r="Z9" s="619" t="s">
        <v>187</v>
      </c>
      <c r="AA9" s="619" t="s">
        <v>186</v>
      </c>
      <c r="AB9" s="619" t="s">
        <v>196</v>
      </c>
      <c r="AC9" s="619" t="s">
        <v>195</v>
      </c>
      <c r="AD9" s="619" t="s">
        <v>194</v>
      </c>
      <c r="AE9" s="619" t="s">
        <v>193</v>
      </c>
      <c r="AF9" s="619" t="s">
        <v>486</v>
      </c>
      <c r="AG9" s="619" t="s">
        <v>487</v>
      </c>
      <c r="AH9" s="619" t="s">
        <v>488</v>
      </c>
      <c r="AI9" s="619" t="s">
        <v>489</v>
      </c>
      <c r="AJ9" s="619" t="s">
        <v>259</v>
      </c>
      <c r="AK9" s="619" t="s">
        <v>260</v>
      </c>
      <c r="AL9" s="619" t="s">
        <v>261</v>
      </c>
      <c r="AM9" s="619" t="s">
        <v>262</v>
      </c>
      <c r="AN9" s="619" t="s">
        <v>222</v>
      </c>
      <c r="AO9" s="619" t="s">
        <v>221</v>
      </c>
      <c r="AP9" s="619" t="s">
        <v>220</v>
      </c>
      <c r="AQ9" s="619" t="s">
        <v>219</v>
      </c>
      <c r="AR9" s="619" t="s">
        <v>218</v>
      </c>
      <c r="AS9" s="619" t="s">
        <v>580</v>
      </c>
      <c r="AT9" s="619" t="s">
        <v>581</v>
      </c>
      <c r="AU9" s="619" t="s">
        <v>582</v>
      </c>
      <c r="AV9" s="619" t="s">
        <v>214</v>
      </c>
      <c r="AW9" s="619" t="s">
        <v>213</v>
      </c>
      <c r="AX9" s="619" t="s">
        <v>212</v>
      </c>
      <c r="AY9" s="619" t="s">
        <v>211</v>
      </c>
      <c r="AZ9" s="619" t="s">
        <v>210</v>
      </c>
      <c r="BA9" s="619" t="s">
        <v>209</v>
      </c>
      <c r="BB9" s="619" t="s">
        <v>583</v>
      </c>
      <c r="BC9" s="619" t="s">
        <v>584</v>
      </c>
      <c r="BD9" s="619" t="s">
        <v>585</v>
      </c>
      <c r="BE9" s="619" t="s">
        <v>205</v>
      </c>
      <c r="BF9" s="619" t="s">
        <v>204</v>
      </c>
      <c r="BG9" s="619" t="s">
        <v>203</v>
      </c>
      <c r="BH9" s="619" t="s">
        <v>202</v>
      </c>
      <c r="BI9" s="619" t="s">
        <v>201</v>
      </c>
      <c r="BJ9" s="619" t="s">
        <v>178</v>
      </c>
      <c r="BK9" s="619" t="s">
        <v>177</v>
      </c>
      <c r="BL9" s="619" t="s">
        <v>176</v>
      </c>
      <c r="BM9" s="619" t="s">
        <v>175</v>
      </c>
      <c r="BN9" s="620" t="s">
        <v>263</v>
      </c>
      <c r="BO9" s="602"/>
    </row>
    <row r="10" spans="1:67">
      <c r="A10" s="615" t="s">
        <v>76</v>
      </c>
      <c r="B10" s="616">
        <v>2040</v>
      </c>
      <c r="C10" s="616" t="s">
        <v>174</v>
      </c>
      <c r="D10" s="616" t="s">
        <v>586</v>
      </c>
      <c r="E10" s="616" t="s">
        <v>586</v>
      </c>
      <c r="F10" s="616" t="s">
        <v>125</v>
      </c>
      <c r="G10" s="616">
        <v>619.67136303152301</v>
      </c>
      <c r="H10" s="616">
        <v>31936.328454178802</v>
      </c>
      <c r="I10" s="616">
        <v>5205.2394494647897</v>
      </c>
      <c r="J10" s="616">
        <v>7.1874176432476206E-2</v>
      </c>
      <c r="K10" s="616">
        <v>1.9505060878577899E-3</v>
      </c>
      <c r="L10" s="616">
        <v>1.27347249703176E-2</v>
      </c>
      <c r="M10" s="616">
        <v>8.6559407490651594E-2</v>
      </c>
      <c r="N10" s="616">
        <v>1.8516280832589301E-4</v>
      </c>
      <c r="O10" s="616">
        <v>4.6579919708996602E-7</v>
      </c>
      <c r="P10" s="616">
        <v>0</v>
      </c>
      <c r="Q10" s="616">
        <v>1.85628607522983E-4</v>
      </c>
      <c r="R10" s="616">
        <v>1.05611328253313E-4</v>
      </c>
      <c r="S10" s="616">
        <v>1.96648293207669E-3</v>
      </c>
      <c r="T10" s="616">
        <v>2.2577228678529798E-3</v>
      </c>
      <c r="U10" s="616">
        <v>1.9353504887059599E-4</v>
      </c>
      <c r="V10" s="616">
        <v>4.8686056982904997E-7</v>
      </c>
      <c r="W10" s="616">
        <v>0</v>
      </c>
      <c r="X10" s="616">
        <v>1.9402190944042499E-4</v>
      </c>
      <c r="Y10" s="616">
        <v>4.2244531301325201E-4</v>
      </c>
      <c r="Z10" s="616">
        <v>4.5884601748456101E-3</v>
      </c>
      <c r="AA10" s="616">
        <v>5.2049273972992896E-3</v>
      </c>
      <c r="AB10" s="616">
        <v>32.042875030756598</v>
      </c>
      <c r="AC10" s="616">
        <v>0.37322236292205002</v>
      </c>
      <c r="AD10" s="616">
        <v>0</v>
      </c>
      <c r="AE10" s="616">
        <v>32.416097393678598</v>
      </c>
      <c r="AF10" s="616">
        <v>1.73484807389231E-5</v>
      </c>
      <c r="AG10" s="616">
        <v>1.56514803298952E-6</v>
      </c>
      <c r="AH10" s="616">
        <v>0</v>
      </c>
      <c r="AI10" s="616">
        <v>1.8913628771912602E-5</v>
      </c>
      <c r="AJ10" s="616">
        <v>5.0366937315272199E-3</v>
      </c>
      <c r="AK10" s="616">
        <v>5.8665358023926398E-5</v>
      </c>
      <c r="AL10" s="616">
        <v>0</v>
      </c>
      <c r="AM10" s="616">
        <v>5.0953590895511502E-3</v>
      </c>
      <c r="AN10" s="616">
        <v>3.7350803297754598E-4</v>
      </c>
      <c r="AO10" s="616">
        <v>3.36972079525668E-5</v>
      </c>
      <c r="AP10" s="616">
        <v>0</v>
      </c>
      <c r="AQ10" s="616">
        <v>4.0720524093011202E-4</v>
      </c>
      <c r="AR10" s="616">
        <v>0</v>
      </c>
      <c r="AS10" s="616">
        <v>0</v>
      </c>
      <c r="AT10" s="616">
        <v>0</v>
      </c>
      <c r="AU10" s="616">
        <v>0</v>
      </c>
      <c r="AV10" s="616">
        <v>4.0720524093011202E-4</v>
      </c>
      <c r="AW10" s="616">
        <v>4.25210463632128E-4</v>
      </c>
      <c r="AX10" s="616">
        <v>3.8361706179102601E-5</v>
      </c>
      <c r="AY10" s="616">
        <v>0</v>
      </c>
      <c r="AZ10" s="616">
        <v>4.6357216981123098E-4</v>
      </c>
      <c r="BA10" s="616">
        <v>0</v>
      </c>
      <c r="BB10" s="616">
        <v>0</v>
      </c>
      <c r="BC10" s="616">
        <v>0</v>
      </c>
      <c r="BD10" s="616">
        <v>0</v>
      </c>
      <c r="BE10" s="616">
        <v>4.6357216981123098E-4</v>
      </c>
      <c r="BF10" s="616">
        <v>4.8163359051260797E-3</v>
      </c>
      <c r="BG10" s="616">
        <v>1.42690309844352E-3</v>
      </c>
      <c r="BH10" s="616">
        <v>0</v>
      </c>
      <c r="BI10" s="616">
        <v>6.2432390035696101E-3</v>
      </c>
      <c r="BJ10" s="616">
        <v>3.0272519497240698E-4</v>
      </c>
      <c r="BK10" s="616">
        <v>3.5260198242258801E-6</v>
      </c>
      <c r="BL10" s="616">
        <v>0</v>
      </c>
      <c r="BM10" s="616">
        <v>3.0625121479663301E-4</v>
      </c>
      <c r="BN10" s="617">
        <v>2.88902083478404</v>
      </c>
      <c r="BO10" s="602"/>
    </row>
    <row r="11" spans="1:67">
      <c r="A11" s="607" t="s">
        <v>76</v>
      </c>
      <c r="B11" s="606">
        <v>2040</v>
      </c>
      <c r="C11" s="606" t="s">
        <v>144</v>
      </c>
      <c r="D11" s="606" t="s">
        <v>586</v>
      </c>
      <c r="E11" s="606" t="s">
        <v>586</v>
      </c>
      <c r="F11" s="606" t="s">
        <v>125</v>
      </c>
      <c r="G11" s="606">
        <v>4300.3664275458596</v>
      </c>
      <c r="H11" s="606">
        <v>99735.554980286004</v>
      </c>
      <c r="I11" s="606">
        <v>20399.0138862696</v>
      </c>
      <c r="J11" s="606">
        <v>9.0833330794214595E-4</v>
      </c>
      <c r="K11" s="606">
        <v>0</v>
      </c>
      <c r="L11" s="606">
        <v>0</v>
      </c>
      <c r="M11" s="606">
        <v>9.0833330794214595E-4</v>
      </c>
      <c r="N11" s="606">
        <v>8.2345718211166102E-5</v>
      </c>
      <c r="O11" s="606">
        <v>0</v>
      </c>
      <c r="P11" s="606">
        <v>0</v>
      </c>
      <c r="Q11" s="606">
        <v>8.2345718211166102E-5</v>
      </c>
      <c r="R11" s="606">
        <v>2.1987926071218001E-4</v>
      </c>
      <c r="S11" s="606">
        <v>1.7315491781084199E-3</v>
      </c>
      <c r="T11" s="606">
        <v>2.0337741570317699E-3</v>
      </c>
      <c r="U11" s="606">
        <v>8.6069026184962299E-5</v>
      </c>
      <c r="V11" s="606">
        <v>0</v>
      </c>
      <c r="W11" s="606">
        <v>0</v>
      </c>
      <c r="X11" s="606">
        <v>8.6069026184962299E-5</v>
      </c>
      <c r="Y11" s="606">
        <v>8.7951704284872296E-4</v>
      </c>
      <c r="Z11" s="606">
        <v>4.0402814155863203E-3</v>
      </c>
      <c r="AA11" s="606">
        <v>5.0058674846200097E-3</v>
      </c>
      <c r="AB11" s="606">
        <v>16.948277227623102</v>
      </c>
      <c r="AC11" s="606">
        <v>0</v>
      </c>
      <c r="AD11" s="606">
        <v>0</v>
      </c>
      <c r="AE11" s="606">
        <v>16.948277227623102</v>
      </c>
      <c r="AF11" s="606">
        <v>1.9255443092394401E-5</v>
      </c>
      <c r="AG11" s="606">
        <v>0</v>
      </c>
      <c r="AH11" s="606">
        <v>0</v>
      </c>
      <c r="AI11" s="606">
        <v>1.9255443092394401E-5</v>
      </c>
      <c r="AJ11" s="606">
        <v>2.66403316152556E-3</v>
      </c>
      <c r="AK11" s="606">
        <v>0</v>
      </c>
      <c r="AL11" s="606">
        <v>0</v>
      </c>
      <c r="AM11" s="606">
        <v>2.66403316152556E-3</v>
      </c>
      <c r="AN11" s="606">
        <v>4.14558352887277E-4</v>
      </c>
      <c r="AO11" s="606">
        <v>0</v>
      </c>
      <c r="AP11" s="606">
        <v>0</v>
      </c>
      <c r="AQ11" s="606">
        <v>4.14558352887277E-4</v>
      </c>
      <c r="AR11" s="606">
        <v>0</v>
      </c>
      <c r="AS11" s="606">
        <v>0</v>
      </c>
      <c r="AT11" s="606">
        <v>0</v>
      </c>
      <c r="AU11" s="606">
        <v>0</v>
      </c>
      <c r="AV11" s="606">
        <v>4.14558352887277E-4</v>
      </c>
      <c r="AW11" s="606">
        <v>4.7194712305017802E-4</v>
      </c>
      <c r="AX11" s="606">
        <v>0</v>
      </c>
      <c r="AY11" s="606">
        <v>0</v>
      </c>
      <c r="AZ11" s="606">
        <v>4.7194712305017802E-4</v>
      </c>
      <c r="BA11" s="606">
        <v>0</v>
      </c>
      <c r="BB11" s="606">
        <v>0</v>
      </c>
      <c r="BC11" s="606">
        <v>0</v>
      </c>
      <c r="BD11" s="606">
        <v>0</v>
      </c>
      <c r="BE11" s="606">
        <v>4.7194712305017802E-4</v>
      </c>
      <c r="BF11" s="606">
        <v>1.3287018888315899E-2</v>
      </c>
      <c r="BG11" s="606">
        <v>0</v>
      </c>
      <c r="BH11" s="606">
        <v>0</v>
      </c>
      <c r="BI11" s="606">
        <v>1.3287018888315899E-2</v>
      </c>
      <c r="BJ11" s="606">
        <v>1.6022216962945099E-4</v>
      </c>
      <c r="BK11" s="606">
        <v>0</v>
      </c>
      <c r="BL11" s="606">
        <v>0</v>
      </c>
      <c r="BM11" s="606">
        <v>1.6022216962945099E-4</v>
      </c>
      <c r="BN11" s="608">
        <v>1.5104818272741001</v>
      </c>
      <c r="BO11" s="602"/>
    </row>
    <row r="12" spans="1:67">
      <c r="A12" s="607" t="s">
        <v>76</v>
      </c>
      <c r="B12" s="606">
        <v>2040</v>
      </c>
      <c r="C12" s="606" t="s">
        <v>143</v>
      </c>
      <c r="D12" s="606" t="s">
        <v>586</v>
      </c>
      <c r="E12" s="606" t="s">
        <v>586</v>
      </c>
      <c r="F12" s="606" t="s">
        <v>125</v>
      </c>
      <c r="G12" s="606">
        <v>10.051189565211001</v>
      </c>
      <c r="H12" s="606">
        <v>216.889783363307</v>
      </c>
      <c r="I12" s="606">
        <v>46.796559914742303</v>
      </c>
      <c r="J12" s="606">
        <v>8.17858747781263E-6</v>
      </c>
      <c r="K12" s="606">
        <v>0</v>
      </c>
      <c r="L12" s="606">
        <v>0</v>
      </c>
      <c r="M12" s="606">
        <v>8.17858747781263E-6</v>
      </c>
      <c r="N12" s="606">
        <v>9.8574807532830293E-7</v>
      </c>
      <c r="O12" s="606">
        <v>0</v>
      </c>
      <c r="P12" s="606">
        <v>0</v>
      </c>
      <c r="Q12" s="606">
        <v>9.8574807532830293E-7</v>
      </c>
      <c r="R12" s="606">
        <v>4.7816012285062702E-7</v>
      </c>
      <c r="S12" s="606">
        <v>3.7655109674486901E-6</v>
      </c>
      <c r="T12" s="606">
        <v>5.2294191656276203E-6</v>
      </c>
      <c r="U12" s="606">
        <v>1.0303192291023401E-6</v>
      </c>
      <c r="V12" s="606">
        <v>0</v>
      </c>
      <c r="W12" s="606">
        <v>0</v>
      </c>
      <c r="X12" s="606">
        <v>1.0303192291023401E-6</v>
      </c>
      <c r="Y12" s="606">
        <v>1.9126404914025102E-6</v>
      </c>
      <c r="Z12" s="606">
        <v>8.7861922573802805E-6</v>
      </c>
      <c r="AA12" s="606">
        <v>1.1729151977885099E-5</v>
      </c>
      <c r="AB12" s="606">
        <v>7.0098280191478499E-2</v>
      </c>
      <c r="AC12" s="606">
        <v>0</v>
      </c>
      <c r="AD12" s="606">
        <v>0</v>
      </c>
      <c r="AE12" s="606">
        <v>7.0098280191478499E-2</v>
      </c>
      <c r="AF12" s="606">
        <v>1.4201229167319999E-7</v>
      </c>
      <c r="AG12" s="606">
        <v>0</v>
      </c>
      <c r="AH12" s="606">
        <v>0</v>
      </c>
      <c r="AI12" s="606">
        <v>1.4201229167319999E-7</v>
      </c>
      <c r="AJ12" s="606">
        <v>1.1018473470073E-5</v>
      </c>
      <c r="AK12" s="606">
        <v>0</v>
      </c>
      <c r="AL12" s="606">
        <v>0</v>
      </c>
      <c r="AM12" s="606">
        <v>1.1018473470073E-5</v>
      </c>
      <c r="AN12" s="606">
        <v>3.0574410281445698E-6</v>
      </c>
      <c r="AO12" s="606">
        <v>0</v>
      </c>
      <c r="AP12" s="606">
        <v>0</v>
      </c>
      <c r="AQ12" s="606">
        <v>3.0574410281445698E-6</v>
      </c>
      <c r="AR12" s="606">
        <v>0</v>
      </c>
      <c r="AS12" s="606">
        <v>0</v>
      </c>
      <c r="AT12" s="606">
        <v>0</v>
      </c>
      <c r="AU12" s="606">
        <v>0</v>
      </c>
      <c r="AV12" s="606">
        <v>3.0574410281445698E-6</v>
      </c>
      <c r="AW12" s="606">
        <v>3.4806933380516501E-6</v>
      </c>
      <c r="AX12" s="606">
        <v>0</v>
      </c>
      <c r="AY12" s="606">
        <v>0</v>
      </c>
      <c r="AZ12" s="606">
        <v>3.4806933380516501E-6</v>
      </c>
      <c r="BA12" s="606">
        <v>0</v>
      </c>
      <c r="BB12" s="606">
        <v>0</v>
      </c>
      <c r="BC12" s="606">
        <v>0</v>
      </c>
      <c r="BD12" s="606">
        <v>0</v>
      </c>
      <c r="BE12" s="606">
        <v>3.4806933380516501E-6</v>
      </c>
      <c r="BF12" s="606">
        <v>3.20262000357667E-5</v>
      </c>
      <c r="BG12" s="606">
        <v>0</v>
      </c>
      <c r="BH12" s="606">
        <v>0</v>
      </c>
      <c r="BI12" s="606">
        <v>3.20262000357667E-5</v>
      </c>
      <c r="BJ12" s="606">
        <v>6.6268083703909096E-7</v>
      </c>
      <c r="BK12" s="606">
        <v>0</v>
      </c>
      <c r="BL12" s="606">
        <v>0</v>
      </c>
      <c r="BM12" s="606">
        <v>6.6268083703909096E-7</v>
      </c>
      <c r="BN12" s="608">
        <v>6.2473711593426604E-3</v>
      </c>
      <c r="BO12" s="602"/>
    </row>
    <row r="13" spans="1:67">
      <c r="A13" s="607" t="s">
        <v>76</v>
      </c>
      <c r="B13" s="606">
        <v>2040</v>
      </c>
      <c r="C13" s="606" t="s">
        <v>142</v>
      </c>
      <c r="D13" s="606" t="s">
        <v>586</v>
      </c>
      <c r="E13" s="606" t="s">
        <v>586</v>
      </c>
      <c r="F13" s="606" t="s">
        <v>125</v>
      </c>
      <c r="G13" s="606">
        <v>2274.70799764305</v>
      </c>
      <c r="H13" s="606">
        <v>49742.713645025397</v>
      </c>
      <c r="I13" s="606">
        <v>10656.4166548044</v>
      </c>
      <c r="J13" s="606">
        <v>1.5172072061481799E-3</v>
      </c>
      <c r="K13" s="606">
        <v>0</v>
      </c>
      <c r="L13" s="606">
        <v>0</v>
      </c>
      <c r="M13" s="606">
        <v>1.5172072061481799E-3</v>
      </c>
      <c r="N13" s="606">
        <v>2.15188867661174E-4</v>
      </c>
      <c r="O13" s="606">
        <v>0</v>
      </c>
      <c r="P13" s="606">
        <v>0</v>
      </c>
      <c r="Q13" s="606">
        <v>2.15188867661174E-4</v>
      </c>
      <c r="R13" s="606">
        <v>1.09663911773968E-4</v>
      </c>
      <c r="S13" s="606">
        <v>8.6360330522000303E-4</v>
      </c>
      <c r="T13" s="606">
        <v>1.1884560846551399E-3</v>
      </c>
      <c r="U13" s="606">
        <v>2.2491875337035401E-4</v>
      </c>
      <c r="V13" s="606">
        <v>0</v>
      </c>
      <c r="W13" s="606">
        <v>0</v>
      </c>
      <c r="X13" s="606">
        <v>2.2491875337035401E-4</v>
      </c>
      <c r="Y13" s="606">
        <v>4.3865564709587502E-4</v>
      </c>
      <c r="Z13" s="606">
        <v>2.0150743788466701E-3</v>
      </c>
      <c r="AA13" s="606">
        <v>2.6786487793128999E-3</v>
      </c>
      <c r="AB13" s="606">
        <v>11.2561701483872</v>
      </c>
      <c r="AC13" s="606">
        <v>0</v>
      </c>
      <c r="AD13" s="606">
        <v>0</v>
      </c>
      <c r="AE13" s="606">
        <v>11.2561701483872</v>
      </c>
      <c r="AF13" s="606">
        <v>3.1794829530643802E-5</v>
      </c>
      <c r="AG13" s="606">
        <v>0</v>
      </c>
      <c r="AH13" s="606">
        <v>0</v>
      </c>
      <c r="AI13" s="606">
        <v>3.1794829530643802E-5</v>
      </c>
      <c r="AJ13" s="606">
        <v>1.76931319592789E-3</v>
      </c>
      <c r="AK13" s="606">
        <v>0</v>
      </c>
      <c r="AL13" s="606">
        <v>0</v>
      </c>
      <c r="AM13" s="606">
        <v>1.76931319592789E-3</v>
      </c>
      <c r="AN13" s="606">
        <v>6.8452396017631403E-4</v>
      </c>
      <c r="AO13" s="606">
        <v>0</v>
      </c>
      <c r="AP13" s="606">
        <v>0</v>
      </c>
      <c r="AQ13" s="606">
        <v>6.8452396017631403E-4</v>
      </c>
      <c r="AR13" s="606">
        <v>0</v>
      </c>
      <c r="AS13" s="606">
        <v>0</v>
      </c>
      <c r="AT13" s="606">
        <v>0</v>
      </c>
      <c r="AU13" s="606">
        <v>0</v>
      </c>
      <c r="AV13" s="606">
        <v>6.8452396017631403E-4</v>
      </c>
      <c r="AW13" s="606">
        <v>7.79285018415658E-4</v>
      </c>
      <c r="AX13" s="606">
        <v>0</v>
      </c>
      <c r="AY13" s="606">
        <v>0</v>
      </c>
      <c r="AZ13" s="606">
        <v>7.79285018415658E-4</v>
      </c>
      <c r="BA13" s="606">
        <v>0</v>
      </c>
      <c r="BB13" s="606">
        <v>0</v>
      </c>
      <c r="BC13" s="606">
        <v>0</v>
      </c>
      <c r="BD13" s="606">
        <v>0</v>
      </c>
      <c r="BE13" s="606">
        <v>7.79285018415658E-4</v>
      </c>
      <c r="BF13" s="606">
        <v>7.0958657092249702E-3</v>
      </c>
      <c r="BG13" s="606">
        <v>0</v>
      </c>
      <c r="BH13" s="606">
        <v>0</v>
      </c>
      <c r="BI13" s="606">
        <v>7.0958657092249702E-3</v>
      </c>
      <c r="BJ13" s="606">
        <v>1.06411287629485E-4</v>
      </c>
      <c r="BK13" s="606">
        <v>0</v>
      </c>
      <c r="BL13" s="606">
        <v>0</v>
      </c>
      <c r="BM13" s="606">
        <v>1.06411287629485E-4</v>
      </c>
      <c r="BN13" s="608">
        <v>1.0031839947798999</v>
      </c>
      <c r="BO13" s="602"/>
    </row>
    <row r="14" spans="1:67">
      <c r="A14" s="607" t="s">
        <v>76</v>
      </c>
      <c r="B14" s="606">
        <v>2040</v>
      </c>
      <c r="C14" s="606" t="s">
        <v>141</v>
      </c>
      <c r="D14" s="606" t="s">
        <v>586</v>
      </c>
      <c r="E14" s="606" t="s">
        <v>586</v>
      </c>
      <c r="F14" s="606" t="s">
        <v>125</v>
      </c>
      <c r="G14" s="606">
        <v>13371.865182048399</v>
      </c>
      <c r="H14" s="606">
        <v>327384.84551164397</v>
      </c>
      <c r="I14" s="606">
        <v>168201.24218376901</v>
      </c>
      <c r="J14" s="606">
        <v>4.0055969073627101E-2</v>
      </c>
      <c r="K14" s="606">
        <v>1.3273330957007201E-2</v>
      </c>
      <c r="L14" s="606">
        <v>0</v>
      </c>
      <c r="M14" s="606">
        <v>5.3329300030634401E-2</v>
      </c>
      <c r="N14" s="606">
        <v>2.6457887451759401E-3</v>
      </c>
      <c r="O14" s="606">
        <v>3.8895692671806598E-4</v>
      </c>
      <c r="P14" s="606">
        <v>0</v>
      </c>
      <c r="Q14" s="606">
        <v>3.0347456718939998E-3</v>
      </c>
      <c r="R14" s="606">
        <v>1.08264005469815E-3</v>
      </c>
      <c r="S14" s="606">
        <v>1.18224293973038E-2</v>
      </c>
      <c r="T14" s="606">
        <v>1.5939815123896001E-2</v>
      </c>
      <c r="U14" s="606">
        <v>2.7654195717191198E-3</v>
      </c>
      <c r="V14" s="606">
        <v>4.0654383297345702E-4</v>
      </c>
      <c r="W14" s="606">
        <v>0</v>
      </c>
      <c r="X14" s="606">
        <v>3.1719634046925801E-3</v>
      </c>
      <c r="Y14" s="606">
        <v>4.3305602187926296E-3</v>
      </c>
      <c r="Z14" s="606">
        <v>2.7585668593708999E-2</v>
      </c>
      <c r="AA14" s="606">
        <v>3.5088192217194197E-2</v>
      </c>
      <c r="AB14" s="606">
        <v>159.27739173988999</v>
      </c>
      <c r="AC14" s="606">
        <v>1.57495620251954</v>
      </c>
      <c r="AD14" s="606">
        <v>0</v>
      </c>
      <c r="AE14" s="606">
        <v>160.85234794240901</v>
      </c>
      <c r="AF14" s="606">
        <v>2.0912495592045801E-3</v>
      </c>
      <c r="AG14" s="606">
        <v>7.5146179619652595E-5</v>
      </c>
      <c r="AH14" s="606">
        <v>0</v>
      </c>
      <c r="AI14" s="606">
        <v>2.1663957388242299E-3</v>
      </c>
      <c r="AJ14" s="606">
        <v>2.5036187913234399E-2</v>
      </c>
      <c r="AK14" s="606">
        <v>2.4756118247959901E-4</v>
      </c>
      <c r="AL14" s="606">
        <v>0</v>
      </c>
      <c r="AM14" s="606">
        <v>2.5283749095714E-2</v>
      </c>
      <c r="AN14" s="606">
        <v>4.5023371759361101E-2</v>
      </c>
      <c r="AO14" s="606">
        <v>1.6178530039227901E-3</v>
      </c>
      <c r="AP14" s="606">
        <v>0</v>
      </c>
      <c r="AQ14" s="606">
        <v>4.6641224763283903E-2</v>
      </c>
      <c r="AR14" s="606">
        <v>0</v>
      </c>
      <c r="AS14" s="606">
        <v>0</v>
      </c>
      <c r="AT14" s="606">
        <v>0</v>
      </c>
      <c r="AU14" s="606">
        <v>0</v>
      </c>
      <c r="AV14" s="606">
        <v>4.6641224763283903E-2</v>
      </c>
      <c r="AW14" s="606">
        <v>5.1256115390893801E-2</v>
      </c>
      <c r="AX14" s="606">
        <v>1.84181808279006E-3</v>
      </c>
      <c r="AY14" s="606">
        <v>0</v>
      </c>
      <c r="AZ14" s="606">
        <v>5.30979334736838E-2</v>
      </c>
      <c r="BA14" s="606">
        <v>0</v>
      </c>
      <c r="BB14" s="606">
        <v>0</v>
      </c>
      <c r="BC14" s="606">
        <v>0</v>
      </c>
      <c r="BD14" s="606">
        <v>0</v>
      </c>
      <c r="BE14" s="606">
        <v>5.30979334736838E-2</v>
      </c>
      <c r="BF14" s="606">
        <v>0.20629281757645601</v>
      </c>
      <c r="BG14" s="606">
        <v>1.34096005823361E-2</v>
      </c>
      <c r="BH14" s="606">
        <v>0</v>
      </c>
      <c r="BI14" s="606">
        <v>0.21970241815879199</v>
      </c>
      <c r="BJ14" s="606">
        <v>1.50574414937536E-3</v>
      </c>
      <c r="BK14" s="606">
        <v>1.48890000116213E-5</v>
      </c>
      <c r="BL14" s="606">
        <v>0</v>
      </c>
      <c r="BM14" s="606">
        <v>1.52063314938698E-3</v>
      </c>
      <c r="BN14" s="608">
        <v>14.335648702122</v>
      </c>
      <c r="BO14" s="602"/>
    </row>
    <row r="15" spans="1:67">
      <c r="A15" s="607" t="s">
        <v>76</v>
      </c>
      <c r="B15" s="606">
        <v>2040</v>
      </c>
      <c r="C15" s="606" t="s">
        <v>140</v>
      </c>
      <c r="D15" s="606" t="s">
        <v>586</v>
      </c>
      <c r="E15" s="606" t="s">
        <v>586</v>
      </c>
      <c r="F15" s="606" t="s">
        <v>125</v>
      </c>
      <c r="G15" s="606">
        <v>5389.6641189103102</v>
      </c>
      <c r="H15" s="606">
        <v>127566.77127974101</v>
      </c>
      <c r="I15" s="606">
        <v>67795.194418430096</v>
      </c>
      <c r="J15" s="606">
        <v>1.7810839441730598E-2</v>
      </c>
      <c r="K15" s="606">
        <v>5.4354666609745996E-3</v>
      </c>
      <c r="L15" s="606">
        <v>0</v>
      </c>
      <c r="M15" s="606">
        <v>2.32463061027052E-2</v>
      </c>
      <c r="N15" s="606">
        <v>2.2436824087523201E-3</v>
      </c>
      <c r="O15" s="606">
        <v>1.5671925214612599E-4</v>
      </c>
      <c r="P15" s="606">
        <v>0</v>
      </c>
      <c r="Q15" s="606">
        <v>2.40040166089845E-3</v>
      </c>
      <c r="R15" s="606">
        <v>4.2185488463928998E-4</v>
      </c>
      <c r="S15" s="606">
        <v>5.37443123030456E-3</v>
      </c>
      <c r="T15" s="606">
        <v>8.1966877758422995E-3</v>
      </c>
      <c r="U15" s="606">
        <v>2.3451317710828702E-3</v>
      </c>
      <c r="V15" s="606">
        <v>1.6380540129679199E-4</v>
      </c>
      <c r="W15" s="606">
        <v>0</v>
      </c>
      <c r="X15" s="606">
        <v>2.5089371723796602E-3</v>
      </c>
      <c r="Y15" s="606">
        <v>1.6874195385571599E-3</v>
      </c>
      <c r="Z15" s="606">
        <v>1.25403395373773E-2</v>
      </c>
      <c r="AA15" s="606">
        <v>1.6736696248314101E-2</v>
      </c>
      <c r="AB15" s="606">
        <v>69.7652887327244</v>
      </c>
      <c r="AC15" s="606">
        <v>1.0274307065233299</v>
      </c>
      <c r="AD15" s="606">
        <v>0</v>
      </c>
      <c r="AE15" s="606">
        <v>70.792719439247705</v>
      </c>
      <c r="AF15" s="606">
        <v>8.1972746933338999E-4</v>
      </c>
      <c r="AG15" s="606">
        <v>3.0288419936581201E-5</v>
      </c>
      <c r="AH15" s="606">
        <v>0</v>
      </c>
      <c r="AI15" s="606">
        <v>8.5001588926997198E-4</v>
      </c>
      <c r="AJ15" s="606">
        <v>1.0966131849936001E-2</v>
      </c>
      <c r="AK15" s="606">
        <v>1.61497799250459E-4</v>
      </c>
      <c r="AL15" s="606">
        <v>0</v>
      </c>
      <c r="AM15" s="606">
        <v>1.1127629649186401E-2</v>
      </c>
      <c r="AN15" s="606">
        <v>1.76482497895637E-2</v>
      </c>
      <c r="AO15" s="606">
        <v>6.5209184853433995E-4</v>
      </c>
      <c r="AP15" s="606">
        <v>0</v>
      </c>
      <c r="AQ15" s="606">
        <v>1.8300341638097999E-2</v>
      </c>
      <c r="AR15" s="606">
        <v>0</v>
      </c>
      <c r="AS15" s="606">
        <v>0</v>
      </c>
      <c r="AT15" s="606">
        <v>0</v>
      </c>
      <c r="AU15" s="606">
        <v>0</v>
      </c>
      <c r="AV15" s="606">
        <v>1.8300341638097999E-2</v>
      </c>
      <c r="AW15" s="606">
        <v>2.00913590500497E-2</v>
      </c>
      <c r="AX15" s="606">
        <v>7.4236321554455899E-4</v>
      </c>
      <c r="AY15" s="606">
        <v>0</v>
      </c>
      <c r="AZ15" s="606">
        <v>2.0833722265594299E-2</v>
      </c>
      <c r="BA15" s="606">
        <v>0</v>
      </c>
      <c r="BB15" s="606">
        <v>0</v>
      </c>
      <c r="BC15" s="606">
        <v>0</v>
      </c>
      <c r="BD15" s="606">
        <v>0</v>
      </c>
      <c r="BE15" s="606">
        <v>2.0833722265594299E-2</v>
      </c>
      <c r="BF15" s="606">
        <v>8.1361919983133801E-2</v>
      </c>
      <c r="BG15" s="606">
        <v>5.4048737497415199E-3</v>
      </c>
      <c r="BH15" s="606">
        <v>0</v>
      </c>
      <c r="BI15" s="606">
        <v>8.6766793732875394E-2</v>
      </c>
      <c r="BJ15" s="606">
        <v>6.5953287024145605E-4</v>
      </c>
      <c r="BK15" s="606">
        <v>9.7129150492528E-6</v>
      </c>
      <c r="BL15" s="606">
        <v>0</v>
      </c>
      <c r="BM15" s="606">
        <v>6.6924578529070904E-4</v>
      </c>
      <c r="BN15" s="608">
        <v>6.3092616895607696</v>
      </c>
      <c r="BO15" s="602"/>
    </row>
    <row r="16" spans="1:67">
      <c r="A16" s="607" t="s">
        <v>76</v>
      </c>
      <c r="B16" s="606">
        <v>2040</v>
      </c>
      <c r="C16" s="606" t="s">
        <v>138</v>
      </c>
      <c r="D16" s="606" t="s">
        <v>586</v>
      </c>
      <c r="E16" s="606" t="s">
        <v>586</v>
      </c>
      <c r="F16" s="606" t="s">
        <v>125</v>
      </c>
      <c r="G16" s="606">
        <v>5073.7913808926896</v>
      </c>
      <c r="H16" s="606">
        <v>112169.759647914</v>
      </c>
      <c r="I16" s="606">
        <v>23667.119998884202</v>
      </c>
      <c r="J16" s="606">
        <v>1.12238530086957E-3</v>
      </c>
      <c r="K16" s="606">
        <v>0</v>
      </c>
      <c r="L16" s="606">
        <v>0</v>
      </c>
      <c r="M16" s="606">
        <v>1.12238530086957E-3</v>
      </c>
      <c r="N16" s="606">
        <v>1.1069761853290199E-4</v>
      </c>
      <c r="O16" s="606">
        <v>0</v>
      </c>
      <c r="P16" s="606">
        <v>0</v>
      </c>
      <c r="Q16" s="606">
        <v>1.1069761853290199E-4</v>
      </c>
      <c r="R16" s="606">
        <v>2.4729198960713101E-4</v>
      </c>
      <c r="S16" s="606">
        <v>1.94742441815616E-3</v>
      </c>
      <c r="T16" s="606">
        <v>2.30541402629619E-3</v>
      </c>
      <c r="U16" s="606">
        <v>1.15702873629553E-4</v>
      </c>
      <c r="V16" s="606">
        <v>0</v>
      </c>
      <c r="W16" s="606">
        <v>0</v>
      </c>
      <c r="X16" s="606">
        <v>1.15702873629553E-4</v>
      </c>
      <c r="Y16" s="606">
        <v>9.8916795842852708E-4</v>
      </c>
      <c r="Z16" s="606">
        <v>4.5439903090310398E-3</v>
      </c>
      <c r="AA16" s="606">
        <v>5.6488611410891298E-3</v>
      </c>
      <c r="AB16" s="606">
        <v>32.951011535864801</v>
      </c>
      <c r="AC16" s="606">
        <v>0</v>
      </c>
      <c r="AD16" s="606">
        <v>0</v>
      </c>
      <c r="AE16" s="606">
        <v>32.951011535864801</v>
      </c>
      <c r="AF16" s="606">
        <v>2.4996864526429299E-5</v>
      </c>
      <c r="AG16" s="606">
        <v>0</v>
      </c>
      <c r="AH16" s="606">
        <v>0</v>
      </c>
      <c r="AI16" s="606">
        <v>2.4996864526429299E-5</v>
      </c>
      <c r="AJ16" s="606">
        <v>5.1794401435847903E-3</v>
      </c>
      <c r="AK16" s="606">
        <v>0</v>
      </c>
      <c r="AL16" s="606">
        <v>0</v>
      </c>
      <c r="AM16" s="606">
        <v>5.1794401435847903E-3</v>
      </c>
      <c r="AN16" s="606">
        <v>5.3816777602568001E-4</v>
      </c>
      <c r="AO16" s="606">
        <v>0</v>
      </c>
      <c r="AP16" s="606">
        <v>0</v>
      </c>
      <c r="AQ16" s="606">
        <v>5.3816777602568001E-4</v>
      </c>
      <c r="AR16" s="606">
        <v>0</v>
      </c>
      <c r="AS16" s="606">
        <v>0</v>
      </c>
      <c r="AT16" s="606">
        <v>0</v>
      </c>
      <c r="AU16" s="606">
        <v>0</v>
      </c>
      <c r="AV16" s="606">
        <v>5.3816777602568001E-4</v>
      </c>
      <c r="AW16" s="606">
        <v>6.1266823318041901E-4</v>
      </c>
      <c r="AX16" s="606">
        <v>0</v>
      </c>
      <c r="AY16" s="606">
        <v>0</v>
      </c>
      <c r="AZ16" s="606">
        <v>6.1266823318041901E-4</v>
      </c>
      <c r="BA16" s="606">
        <v>0</v>
      </c>
      <c r="BB16" s="606">
        <v>0</v>
      </c>
      <c r="BC16" s="606">
        <v>0</v>
      </c>
      <c r="BD16" s="606">
        <v>0</v>
      </c>
      <c r="BE16" s="606">
        <v>6.1266823318041901E-4</v>
      </c>
      <c r="BF16" s="606">
        <v>1.71384331551548E-2</v>
      </c>
      <c r="BG16" s="606">
        <v>0</v>
      </c>
      <c r="BH16" s="606">
        <v>0</v>
      </c>
      <c r="BI16" s="606">
        <v>1.71384331551548E-2</v>
      </c>
      <c r="BJ16" s="606">
        <v>3.11505558285096E-4</v>
      </c>
      <c r="BK16" s="606">
        <v>0</v>
      </c>
      <c r="BL16" s="606">
        <v>0</v>
      </c>
      <c r="BM16" s="606">
        <v>3.11505558285096E-4</v>
      </c>
      <c r="BN16" s="608">
        <v>2.9366940041612302</v>
      </c>
      <c r="BO16" s="602"/>
    </row>
    <row r="17" spans="1:67">
      <c r="A17" s="607" t="s">
        <v>76</v>
      </c>
      <c r="B17" s="606">
        <v>2040</v>
      </c>
      <c r="C17" s="606" t="s">
        <v>137</v>
      </c>
      <c r="D17" s="606" t="s">
        <v>586</v>
      </c>
      <c r="E17" s="606" t="s">
        <v>586</v>
      </c>
      <c r="F17" s="606" t="s">
        <v>125</v>
      </c>
      <c r="G17" s="606">
        <v>1003.80413050301</v>
      </c>
      <c r="H17" s="606">
        <v>6547.5406511032797</v>
      </c>
      <c r="I17" s="606">
        <v>100.380413050301</v>
      </c>
      <c r="J17" s="606">
        <v>1.7714792993848399E-2</v>
      </c>
      <c r="K17" s="606">
        <v>0</v>
      </c>
      <c r="L17" s="606">
        <v>0</v>
      </c>
      <c r="M17" s="606">
        <v>1.7714792993848399E-2</v>
      </c>
      <c r="N17" s="606">
        <v>1.3307145934723501E-4</v>
      </c>
      <c r="O17" s="606">
        <v>0</v>
      </c>
      <c r="P17" s="606">
        <v>0</v>
      </c>
      <c r="Q17" s="606">
        <v>1.3307145934723501E-4</v>
      </c>
      <c r="R17" s="606">
        <v>2.8869712473793499E-5</v>
      </c>
      <c r="S17" s="606">
        <v>4.0316553469652602E-4</v>
      </c>
      <c r="T17" s="606">
        <v>5.6510670651755497E-4</v>
      </c>
      <c r="U17" s="606">
        <v>1.3908836024306199E-4</v>
      </c>
      <c r="V17" s="606">
        <v>0</v>
      </c>
      <c r="W17" s="606">
        <v>0</v>
      </c>
      <c r="X17" s="606">
        <v>1.3908836024306199E-4</v>
      </c>
      <c r="Y17" s="606">
        <v>1.1547884989517399E-4</v>
      </c>
      <c r="Z17" s="606">
        <v>9.4071958095856101E-4</v>
      </c>
      <c r="AA17" s="606">
        <v>1.1952867910967899E-3</v>
      </c>
      <c r="AB17" s="606">
        <v>6.0212688839961599</v>
      </c>
      <c r="AC17" s="606">
        <v>0</v>
      </c>
      <c r="AD17" s="606">
        <v>0</v>
      </c>
      <c r="AE17" s="606">
        <v>6.0212688839961599</v>
      </c>
      <c r="AF17" s="606">
        <v>2.3974194500747202E-5</v>
      </c>
      <c r="AG17" s="606">
        <v>0</v>
      </c>
      <c r="AH17" s="606">
        <v>0</v>
      </c>
      <c r="AI17" s="606">
        <v>2.3974194500747202E-5</v>
      </c>
      <c r="AJ17" s="606">
        <v>9.4645961745796895E-4</v>
      </c>
      <c r="AK17" s="606">
        <v>0</v>
      </c>
      <c r="AL17" s="606">
        <v>0</v>
      </c>
      <c r="AM17" s="606">
        <v>9.4645961745796895E-4</v>
      </c>
      <c r="AN17" s="606">
        <v>5.1615029248299198E-4</v>
      </c>
      <c r="AO17" s="606">
        <v>0</v>
      </c>
      <c r="AP17" s="606">
        <v>0</v>
      </c>
      <c r="AQ17" s="606">
        <v>5.1615029248299198E-4</v>
      </c>
      <c r="AR17" s="606">
        <v>0</v>
      </c>
      <c r="AS17" s="606">
        <v>0</v>
      </c>
      <c r="AT17" s="606">
        <v>0</v>
      </c>
      <c r="AU17" s="606">
        <v>0</v>
      </c>
      <c r="AV17" s="606">
        <v>5.1615029248299198E-4</v>
      </c>
      <c r="AW17" s="606">
        <v>5.8760279198883498E-4</v>
      </c>
      <c r="AX17" s="606">
        <v>0</v>
      </c>
      <c r="AY17" s="606">
        <v>0</v>
      </c>
      <c r="AZ17" s="606">
        <v>5.8760279198883498E-4</v>
      </c>
      <c r="BA17" s="606">
        <v>0</v>
      </c>
      <c r="BB17" s="606">
        <v>0</v>
      </c>
      <c r="BC17" s="606">
        <v>0</v>
      </c>
      <c r="BD17" s="606">
        <v>0</v>
      </c>
      <c r="BE17" s="606">
        <v>5.8760279198883498E-4</v>
      </c>
      <c r="BF17" s="606">
        <v>1.4866240621724501E-3</v>
      </c>
      <c r="BG17" s="606">
        <v>0</v>
      </c>
      <c r="BH17" s="606">
        <v>0</v>
      </c>
      <c r="BI17" s="606">
        <v>1.4866240621724501E-3</v>
      </c>
      <c r="BJ17" s="606">
        <v>5.6922644795058399E-5</v>
      </c>
      <c r="BK17" s="606">
        <v>0</v>
      </c>
      <c r="BL17" s="606">
        <v>0</v>
      </c>
      <c r="BM17" s="606">
        <v>5.6922644795058399E-5</v>
      </c>
      <c r="BN17" s="608">
        <v>0.53663373003975501</v>
      </c>
      <c r="BO17" s="602"/>
    </row>
    <row r="18" spans="1:67">
      <c r="A18" s="607" t="s">
        <v>76</v>
      </c>
      <c r="B18" s="606">
        <v>2040</v>
      </c>
      <c r="C18" s="606" t="s">
        <v>173</v>
      </c>
      <c r="D18" s="606" t="s">
        <v>586</v>
      </c>
      <c r="E18" s="606" t="s">
        <v>586</v>
      </c>
      <c r="F18" s="606" t="s">
        <v>125</v>
      </c>
      <c r="G18" s="606">
        <v>103.60424378448501</v>
      </c>
      <c r="H18" s="606">
        <v>12815.0810710732</v>
      </c>
      <c r="I18" s="606">
        <v>1512.6219592534901</v>
      </c>
      <c r="J18" s="606">
        <v>2.5063170475682399E-2</v>
      </c>
      <c r="K18" s="606">
        <v>5.3913040672914202E-3</v>
      </c>
      <c r="L18" s="606">
        <v>3.7238813412684099E-3</v>
      </c>
      <c r="M18" s="606">
        <v>3.4178355884242201E-2</v>
      </c>
      <c r="N18" s="606">
        <v>3.0735510538471797E-4</v>
      </c>
      <c r="O18" s="606">
        <v>1.85766208167436E-6</v>
      </c>
      <c r="P18" s="606">
        <v>0</v>
      </c>
      <c r="Q18" s="606">
        <v>3.0921276746639199E-4</v>
      </c>
      <c r="R18" s="606">
        <v>4.2378626445171297E-5</v>
      </c>
      <c r="S18" s="606">
        <v>7.89090024409089E-4</v>
      </c>
      <c r="T18" s="606">
        <v>1.14068141832065E-3</v>
      </c>
      <c r="U18" s="606">
        <v>3.21252339382134E-4</v>
      </c>
      <c r="V18" s="606">
        <v>1.9416573177542702E-6</v>
      </c>
      <c r="W18" s="606">
        <v>0</v>
      </c>
      <c r="X18" s="606">
        <v>3.2319399669988798E-4</v>
      </c>
      <c r="Y18" s="606">
        <v>1.69514505780685E-4</v>
      </c>
      <c r="Z18" s="606">
        <v>1.8412100569545401E-3</v>
      </c>
      <c r="AA18" s="606">
        <v>2.3339185594351101E-3</v>
      </c>
      <c r="AB18" s="606">
        <v>16.8784969463834</v>
      </c>
      <c r="AC18" s="606">
        <v>0.98650050899617103</v>
      </c>
      <c r="AD18" s="606">
        <v>0</v>
      </c>
      <c r="AE18" s="606">
        <v>17.864997455379601</v>
      </c>
      <c r="AF18" s="606">
        <v>1.1873263415259201E-5</v>
      </c>
      <c r="AG18" s="606">
        <v>2.11909493607237E-5</v>
      </c>
      <c r="AH18" s="606">
        <v>0</v>
      </c>
      <c r="AI18" s="606">
        <v>3.3064212775982997E-5</v>
      </c>
      <c r="AJ18" s="606">
        <v>2.65306467306232E-3</v>
      </c>
      <c r="AK18" s="606">
        <v>1.5506414218574899E-4</v>
      </c>
      <c r="AL18" s="606">
        <v>0</v>
      </c>
      <c r="AM18" s="606">
        <v>2.80812881524807E-3</v>
      </c>
      <c r="AN18" s="606">
        <v>2.55628105422967E-4</v>
      </c>
      <c r="AO18" s="606">
        <v>4.5623532871628302E-4</v>
      </c>
      <c r="AP18" s="606">
        <v>0</v>
      </c>
      <c r="AQ18" s="606">
        <v>7.1186343413925002E-4</v>
      </c>
      <c r="AR18" s="606">
        <v>0</v>
      </c>
      <c r="AS18" s="606">
        <v>0</v>
      </c>
      <c r="AT18" s="606">
        <v>0</v>
      </c>
      <c r="AU18" s="606">
        <v>0</v>
      </c>
      <c r="AV18" s="606">
        <v>7.1186343413925002E-4</v>
      </c>
      <c r="AW18" s="606">
        <v>2.9101313928323698E-4</v>
      </c>
      <c r="AX18" s="606">
        <v>5.1938919252232001E-4</v>
      </c>
      <c r="AY18" s="606">
        <v>0</v>
      </c>
      <c r="AZ18" s="606">
        <v>8.1040233180555699E-4</v>
      </c>
      <c r="BA18" s="606">
        <v>0</v>
      </c>
      <c r="BB18" s="606">
        <v>0</v>
      </c>
      <c r="BC18" s="606">
        <v>0</v>
      </c>
      <c r="BD18" s="606">
        <v>0</v>
      </c>
      <c r="BE18" s="606">
        <v>8.1040233180555699E-4</v>
      </c>
      <c r="BF18" s="606">
        <v>2.3755085651699002E-3</v>
      </c>
      <c r="BG18" s="606">
        <v>6.7412509539846403E-3</v>
      </c>
      <c r="BH18" s="606">
        <v>0</v>
      </c>
      <c r="BI18" s="606">
        <v>9.1167595191545495E-3</v>
      </c>
      <c r="BJ18" s="606">
        <v>1.59459670021203E-4</v>
      </c>
      <c r="BK18" s="606">
        <v>9.3199676570717907E-6</v>
      </c>
      <c r="BL18" s="606">
        <v>0</v>
      </c>
      <c r="BM18" s="606">
        <v>1.6877963767827499E-4</v>
      </c>
      <c r="BN18" s="608">
        <v>1.5921827120380101</v>
      </c>
      <c r="BO18" s="602"/>
    </row>
    <row r="19" spans="1:67">
      <c r="A19" s="607" t="s">
        <v>76</v>
      </c>
      <c r="B19" s="606">
        <v>2040</v>
      </c>
      <c r="C19" s="606" t="s">
        <v>172</v>
      </c>
      <c r="D19" s="606" t="s">
        <v>586</v>
      </c>
      <c r="E19" s="606" t="s">
        <v>586</v>
      </c>
      <c r="F19" s="606" t="s">
        <v>125</v>
      </c>
      <c r="G19" s="606">
        <v>0</v>
      </c>
      <c r="H19" s="606">
        <v>2624.25641026024</v>
      </c>
      <c r="I19" s="606">
        <v>0</v>
      </c>
      <c r="J19" s="606">
        <v>1.44220122590354E-2</v>
      </c>
      <c r="K19" s="606">
        <v>0</v>
      </c>
      <c r="L19" s="606">
        <v>0</v>
      </c>
      <c r="M19" s="606">
        <v>1.44220122590354E-2</v>
      </c>
      <c r="N19" s="606">
        <v>1.5346883335745301E-5</v>
      </c>
      <c r="O19" s="606">
        <v>0</v>
      </c>
      <c r="P19" s="606">
        <v>0</v>
      </c>
      <c r="Q19" s="606">
        <v>1.5346883335745301E-5</v>
      </c>
      <c r="R19" s="606">
        <v>0</v>
      </c>
      <c r="S19" s="606">
        <v>0</v>
      </c>
      <c r="T19" s="606">
        <v>1.5346883335745301E-5</v>
      </c>
      <c r="U19" s="606">
        <v>1.6040801299401502E-5</v>
      </c>
      <c r="V19" s="606">
        <v>0</v>
      </c>
      <c r="W19" s="606">
        <v>0</v>
      </c>
      <c r="X19" s="606">
        <v>1.6040801299401502E-5</v>
      </c>
      <c r="Y19" s="606">
        <v>0</v>
      </c>
      <c r="Z19" s="606">
        <v>0</v>
      </c>
      <c r="AA19" s="606">
        <v>1.6040801299401502E-5</v>
      </c>
      <c r="AB19" s="606">
        <v>4.8722938756965304</v>
      </c>
      <c r="AC19" s="606">
        <v>0</v>
      </c>
      <c r="AD19" s="606">
        <v>0</v>
      </c>
      <c r="AE19" s="606">
        <v>4.8722938756965304</v>
      </c>
      <c r="AF19" s="606">
        <v>3.6240345307602901E-6</v>
      </c>
      <c r="AG19" s="606">
        <v>0</v>
      </c>
      <c r="AH19" s="606">
        <v>0</v>
      </c>
      <c r="AI19" s="606">
        <v>3.6240345307602901E-6</v>
      </c>
      <c r="AJ19" s="606">
        <v>7.6585674657233703E-4</v>
      </c>
      <c r="AK19" s="606">
        <v>0</v>
      </c>
      <c r="AL19" s="606">
        <v>0</v>
      </c>
      <c r="AM19" s="606">
        <v>7.6585674657233703E-4</v>
      </c>
      <c r="AN19" s="606">
        <v>7.8024469658027499E-5</v>
      </c>
      <c r="AO19" s="606">
        <v>0</v>
      </c>
      <c r="AP19" s="606">
        <v>0</v>
      </c>
      <c r="AQ19" s="606">
        <v>7.8024469658027499E-5</v>
      </c>
      <c r="AR19" s="606">
        <v>0</v>
      </c>
      <c r="AS19" s="606">
        <v>0</v>
      </c>
      <c r="AT19" s="606">
        <v>0</v>
      </c>
      <c r="AU19" s="606">
        <v>0</v>
      </c>
      <c r="AV19" s="606">
        <v>7.8024469658027499E-5</v>
      </c>
      <c r="AW19" s="606">
        <v>8.8824919382484398E-5</v>
      </c>
      <c r="AX19" s="606">
        <v>0</v>
      </c>
      <c r="AY19" s="606">
        <v>0</v>
      </c>
      <c r="AZ19" s="606">
        <v>8.8824919382484398E-5</v>
      </c>
      <c r="BA19" s="606">
        <v>0</v>
      </c>
      <c r="BB19" s="606">
        <v>0</v>
      </c>
      <c r="BC19" s="606">
        <v>0</v>
      </c>
      <c r="BD19" s="606">
        <v>0</v>
      </c>
      <c r="BE19" s="606">
        <v>8.8824919382484398E-5</v>
      </c>
      <c r="BF19" s="606">
        <v>1.2503017389480901E-3</v>
      </c>
      <c r="BG19" s="606">
        <v>0</v>
      </c>
      <c r="BH19" s="606">
        <v>0</v>
      </c>
      <c r="BI19" s="606">
        <v>1.2503017389480901E-3</v>
      </c>
      <c r="BJ19" s="606">
        <v>4.6031016632163698E-5</v>
      </c>
      <c r="BK19" s="606">
        <v>0</v>
      </c>
      <c r="BL19" s="606">
        <v>0</v>
      </c>
      <c r="BM19" s="606">
        <v>4.6031016632163698E-5</v>
      </c>
      <c r="BN19" s="608">
        <v>0.434233595399516</v>
      </c>
      <c r="BO19" s="602"/>
    </row>
    <row r="20" spans="1:67">
      <c r="A20" s="607" t="s">
        <v>76</v>
      </c>
      <c r="B20" s="606">
        <v>2040</v>
      </c>
      <c r="C20" s="606" t="s">
        <v>135</v>
      </c>
      <c r="D20" s="606" t="s">
        <v>586</v>
      </c>
      <c r="E20" s="606" t="s">
        <v>586</v>
      </c>
      <c r="F20" s="606" t="s">
        <v>125</v>
      </c>
      <c r="G20" s="606">
        <v>142.41044542697</v>
      </c>
      <c r="H20" s="606">
        <v>4512.6883700219996</v>
      </c>
      <c r="I20" s="606">
        <v>1643.3967957703901</v>
      </c>
      <c r="J20" s="606">
        <v>8.7918453068822604E-3</v>
      </c>
      <c r="K20" s="606">
        <v>2.7260759463686602E-3</v>
      </c>
      <c r="L20" s="606">
        <v>3.5645967519484598E-3</v>
      </c>
      <c r="M20" s="606">
        <v>1.50825180051994E-2</v>
      </c>
      <c r="N20" s="606">
        <v>5.0769965561986602E-5</v>
      </c>
      <c r="O20" s="606">
        <v>6.8996924295277398E-7</v>
      </c>
      <c r="P20" s="606">
        <v>0</v>
      </c>
      <c r="Q20" s="606">
        <v>5.1459934804939297E-5</v>
      </c>
      <c r="R20" s="606">
        <v>1.4923162298856499E-5</v>
      </c>
      <c r="S20" s="606">
        <v>1.5878244685983299E-3</v>
      </c>
      <c r="T20" s="606">
        <v>1.6542075657021301E-3</v>
      </c>
      <c r="U20" s="606">
        <v>5.3065558116314003E-5</v>
      </c>
      <c r="V20" s="606">
        <v>7.2116659042592703E-7</v>
      </c>
      <c r="W20" s="606">
        <v>0</v>
      </c>
      <c r="X20" s="606">
        <v>5.37867247067399E-5</v>
      </c>
      <c r="Y20" s="606">
        <v>5.9692649195426201E-5</v>
      </c>
      <c r="Z20" s="606">
        <v>3.7049237600627902E-3</v>
      </c>
      <c r="AA20" s="606">
        <v>3.81840313396495E-3</v>
      </c>
      <c r="AB20" s="606">
        <v>4.4561462763683899</v>
      </c>
      <c r="AC20" s="606">
        <v>0.46908404410160598</v>
      </c>
      <c r="AD20" s="606">
        <v>0</v>
      </c>
      <c r="AE20" s="606">
        <v>4.9252303204699999</v>
      </c>
      <c r="AF20" s="606">
        <v>5.75757654334146E-6</v>
      </c>
      <c r="AG20" s="606">
        <v>2.0183687502148998E-6</v>
      </c>
      <c r="AH20" s="606">
        <v>0</v>
      </c>
      <c r="AI20" s="606">
        <v>7.7759452935563603E-6</v>
      </c>
      <c r="AJ20" s="606">
        <v>7.0044413915448605E-4</v>
      </c>
      <c r="AK20" s="606">
        <v>7.3733479352842407E-5</v>
      </c>
      <c r="AL20" s="606">
        <v>0</v>
      </c>
      <c r="AM20" s="606">
        <v>7.7417761850732795E-4</v>
      </c>
      <c r="AN20" s="606">
        <v>1.2395904412518699E-4</v>
      </c>
      <c r="AO20" s="606">
        <v>4.34549257114322E-5</v>
      </c>
      <c r="AP20" s="606">
        <v>0</v>
      </c>
      <c r="AQ20" s="606">
        <v>1.6741396983661899E-4</v>
      </c>
      <c r="AR20" s="606">
        <v>0</v>
      </c>
      <c r="AS20" s="606">
        <v>0</v>
      </c>
      <c r="AT20" s="606">
        <v>0</v>
      </c>
      <c r="AU20" s="606">
        <v>0</v>
      </c>
      <c r="AV20" s="606">
        <v>1.6741396983661899E-4</v>
      </c>
      <c r="AW20" s="606">
        <v>1.4111793581434099E-4</v>
      </c>
      <c r="AX20" s="606">
        <v>4.9470125077520402E-5</v>
      </c>
      <c r="AY20" s="606">
        <v>0</v>
      </c>
      <c r="AZ20" s="606">
        <v>1.90588060891862E-4</v>
      </c>
      <c r="BA20" s="606">
        <v>0</v>
      </c>
      <c r="BB20" s="606">
        <v>0</v>
      </c>
      <c r="BC20" s="606">
        <v>0</v>
      </c>
      <c r="BD20" s="606">
        <v>0</v>
      </c>
      <c r="BE20" s="606">
        <v>1.90588060891862E-4</v>
      </c>
      <c r="BF20" s="606">
        <v>6.5825396385315498E-4</v>
      </c>
      <c r="BG20" s="606">
        <v>1.6797392389871399E-3</v>
      </c>
      <c r="BH20" s="606">
        <v>0</v>
      </c>
      <c r="BI20" s="606">
        <v>2.3379932028403001E-3</v>
      </c>
      <c r="BJ20" s="606">
        <v>4.2099460458662103E-5</v>
      </c>
      <c r="BK20" s="606">
        <v>4.4316734554187403E-6</v>
      </c>
      <c r="BL20" s="606">
        <v>0</v>
      </c>
      <c r="BM20" s="606">
        <v>4.6531133914080798E-5</v>
      </c>
      <c r="BN20" s="608">
        <v>0.43895145177848099</v>
      </c>
      <c r="BO20" s="602"/>
    </row>
    <row r="21" spans="1:67">
      <c r="A21" s="607" t="s">
        <v>76</v>
      </c>
      <c r="B21" s="606">
        <v>2040</v>
      </c>
      <c r="C21" s="606" t="s">
        <v>171</v>
      </c>
      <c r="D21" s="606" t="s">
        <v>586</v>
      </c>
      <c r="E21" s="606" t="s">
        <v>586</v>
      </c>
      <c r="F21" s="606" t="s">
        <v>125</v>
      </c>
      <c r="G21" s="606">
        <v>2.7593119346956398</v>
      </c>
      <c r="H21" s="606">
        <v>4.4635043470283602</v>
      </c>
      <c r="I21" s="606">
        <v>12.140972512660801</v>
      </c>
      <c r="J21" s="606">
        <v>1.2082119657238499E-5</v>
      </c>
      <c r="K21" s="606">
        <v>8.6853371578269503E-6</v>
      </c>
      <c r="L21" s="606">
        <v>5.2092902872387899E-5</v>
      </c>
      <c r="M21" s="606">
        <v>7.2860359687453504E-5</v>
      </c>
      <c r="N21" s="606">
        <v>1.2033574418847899E-7</v>
      </c>
      <c r="O21" s="606">
        <v>2.0741401935405699E-9</v>
      </c>
      <c r="P21" s="606">
        <v>0</v>
      </c>
      <c r="Q21" s="606">
        <v>1.2240988438202001E-7</v>
      </c>
      <c r="R21" s="606">
        <v>1.4760513984268599E-8</v>
      </c>
      <c r="S21" s="606">
        <v>2.7484077038708101E-7</v>
      </c>
      <c r="T21" s="606">
        <v>4.1201116875337E-7</v>
      </c>
      <c r="U21" s="606">
        <v>1.25776792558726E-7</v>
      </c>
      <c r="V21" s="606">
        <v>2.1679236092316802E-9</v>
      </c>
      <c r="W21" s="606">
        <v>0</v>
      </c>
      <c r="X21" s="606">
        <v>1.27944716167957E-7</v>
      </c>
      <c r="Y21" s="606">
        <v>5.9042055937074503E-8</v>
      </c>
      <c r="Z21" s="606">
        <v>6.4129513090319104E-7</v>
      </c>
      <c r="AA21" s="606">
        <v>8.2828190300822297E-7</v>
      </c>
      <c r="AB21" s="606">
        <v>5.2239075420258399E-3</v>
      </c>
      <c r="AC21" s="606">
        <v>1.9886005805978E-3</v>
      </c>
      <c r="AD21" s="606">
        <v>0</v>
      </c>
      <c r="AE21" s="606">
        <v>7.2125081226236398E-3</v>
      </c>
      <c r="AF21" s="606">
        <v>2.6938064369285602E-9</v>
      </c>
      <c r="AG21" s="606">
        <v>6.9693903818334203E-9</v>
      </c>
      <c r="AH21" s="606">
        <v>0</v>
      </c>
      <c r="AI21" s="606">
        <v>9.66319681876199E-9</v>
      </c>
      <c r="AJ21" s="606">
        <v>8.2112551841070096E-7</v>
      </c>
      <c r="AK21" s="606">
        <v>3.1258031837637702E-7</v>
      </c>
      <c r="AL21" s="606">
        <v>0</v>
      </c>
      <c r="AM21" s="606">
        <v>1.13370583678707E-6</v>
      </c>
      <c r="AN21" s="606">
        <v>5.7996913886644802E-8</v>
      </c>
      <c r="AO21" s="606">
        <v>1.50049063762157E-7</v>
      </c>
      <c r="AP21" s="606">
        <v>0</v>
      </c>
      <c r="AQ21" s="606">
        <v>2.0804597764880199E-7</v>
      </c>
      <c r="AR21" s="606">
        <v>0</v>
      </c>
      <c r="AS21" s="606">
        <v>0</v>
      </c>
      <c r="AT21" s="606">
        <v>0</v>
      </c>
      <c r="AU21" s="606">
        <v>0</v>
      </c>
      <c r="AV21" s="606">
        <v>2.0804597764880199E-7</v>
      </c>
      <c r="AW21" s="606">
        <v>6.6025071660119897E-8</v>
      </c>
      <c r="AX21" s="606">
        <v>1.70819437165115E-7</v>
      </c>
      <c r="AY21" s="606">
        <v>0</v>
      </c>
      <c r="AZ21" s="606">
        <v>2.3684450882523499E-7</v>
      </c>
      <c r="BA21" s="606">
        <v>0</v>
      </c>
      <c r="BB21" s="606">
        <v>0</v>
      </c>
      <c r="BC21" s="606">
        <v>0</v>
      </c>
      <c r="BD21" s="606">
        <v>0</v>
      </c>
      <c r="BE21" s="606">
        <v>2.3684450882523499E-7</v>
      </c>
      <c r="BF21" s="606">
        <v>4.5194534719524298E-7</v>
      </c>
      <c r="BG21" s="606">
        <v>6.3538045734279799E-6</v>
      </c>
      <c r="BH21" s="606">
        <v>0</v>
      </c>
      <c r="BI21" s="606">
        <v>6.8057499206232203E-6</v>
      </c>
      <c r="BJ21" s="606">
        <v>4.9352888205558097E-8</v>
      </c>
      <c r="BK21" s="606">
        <v>1.87873122466657E-8</v>
      </c>
      <c r="BL21" s="606">
        <v>0</v>
      </c>
      <c r="BM21" s="606">
        <v>6.8140200452223794E-8</v>
      </c>
      <c r="BN21" s="608">
        <v>6.4280058096605403E-4</v>
      </c>
      <c r="BO21" s="602"/>
    </row>
    <row r="22" spans="1:67">
      <c r="A22" s="607" t="s">
        <v>76</v>
      </c>
      <c r="B22" s="606">
        <v>2040</v>
      </c>
      <c r="C22" s="606" t="s">
        <v>170</v>
      </c>
      <c r="D22" s="606" t="s">
        <v>586</v>
      </c>
      <c r="E22" s="606" t="s">
        <v>586</v>
      </c>
      <c r="F22" s="606" t="s">
        <v>125</v>
      </c>
      <c r="G22" s="606">
        <v>28.295108666171402</v>
      </c>
      <c r="H22" s="606">
        <v>4705.86240120191</v>
      </c>
      <c r="I22" s="606">
        <v>413.10858652610301</v>
      </c>
      <c r="J22" s="606">
        <v>4.74037547180714E-3</v>
      </c>
      <c r="K22" s="606">
        <v>8.9062985446825794E-5</v>
      </c>
      <c r="L22" s="606">
        <v>5.9900763182405903E-4</v>
      </c>
      <c r="M22" s="606">
        <v>5.4284460890780296E-3</v>
      </c>
      <c r="N22" s="606">
        <v>4.9067200054297201E-5</v>
      </c>
      <c r="O22" s="606">
        <v>2.1269078507275699E-8</v>
      </c>
      <c r="P22" s="606">
        <v>0</v>
      </c>
      <c r="Q22" s="606">
        <v>4.9088469132804498E-5</v>
      </c>
      <c r="R22" s="606">
        <v>1.5561976057495999E-5</v>
      </c>
      <c r="S22" s="606">
        <v>2.8976399419057498E-4</v>
      </c>
      <c r="T22" s="606">
        <v>3.5441443938087597E-4</v>
      </c>
      <c r="U22" s="606">
        <v>5.1285801108277E-5</v>
      </c>
      <c r="V22" s="606">
        <v>2.2230771857236699E-8</v>
      </c>
      <c r="W22" s="606">
        <v>0</v>
      </c>
      <c r="X22" s="606">
        <v>5.1308031880134299E-5</v>
      </c>
      <c r="Y22" s="606">
        <v>6.2247904229983996E-5</v>
      </c>
      <c r="Z22" s="606">
        <v>6.7611598644467597E-4</v>
      </c>
      <c r="AA22" s="606">
        <v>7.8967192255479399E-4</v>
      </c>
      <c r="AB22" s="606">
        <v>3.5399004211938498</v>
      </c>
      <c r="AC22" s="606">
        <v>1.51438635950315E-2</v>
      </c>
      <c r="AD22" s="606">
        <v>0</v>
      </c>
      <c r="AE22" s="606">
        <v>3.5550442847888801</v>
      </c>
      <c r="AF22" s="606">
        <v>1.8725094434921701E-6</v>
      </c>
      <c r="AG22" s="606">
        <v>7.14669681638218E-8</v>
      </c>
      <c r="AH22" s="606">
        <v>0</v>
      </c>
      <c r="AI22" s="606">
        <v>1.9439764116559902E-6</v>
      </c>
      <c r="AJ22" s="606">
        <v>5.5642305019583795E-4</v>
      </c>
      <c r="AK22" s="606">
        <v>2.3804044664214798E-6</v>
      </c>
      <c r="AL22" s="606">
        <v>0</v>
      </c>
      <c r="AM22" s="606">
        <v>5.5880345466225996E-4</v>
      </c>
      <c r="AN22" s="606">
        <v>4.0314614835492103E-5</v>
      </c>
      <c r="AO22" s="606">
        <v>1.5386642267670301E-6</v>
      </c>
      <c r="AP22" s="606">
        <v>0</v>
      </c>
      <c r="AQ22" s="606">
        <v>4.1853279062259202E-5</v>
      </c>
      <c r="AR22" s="606">
        <v>0</v>
      </c>
      <c r="AS22" s="606">
        <v>0</v>
      </c>
      <c r="AT22" s="606">
        <v>0</v>
      </c>
      <c r="AU22" s="606">
        <v>0</v>
      </c>
      <c r="AV22" s="606">
        <v>4.1853279062259202E-5</v>
      </c>
      <c r="AW22" s="606">
        <v>4.5895120189773397E-5</v>
      </c>
      <c r="AX22" s="606">
        <v>1.7516520970704601E-6</v>
      </c>
      <c r="AY22" s="606">
        <v>0</v>
      </c>
      <c r="AZ22" s="606">
        <v>4.76467722868438E-5</v>
      </c>
      <c r="BA22" s="606">
        <v>0</v>
      </c>
      <c r="BB22" s="606">
        <v>0</v>
      </c>
      <c r="BC22" s="606">
        <v>0</v>
      </c>
      <c r="BD22" s="606">
        <v>0</v>
      </c>
      <c r="BE22" s="606">
        <v>4.76467722868438E-5</v>
      </c>
      <c r="BF22" s="606">
        <v>3.3411825165327401E-4</v>
      </c>
      <c r="BG22" s="606">
        <v>6.5154500507240504E-5</v>
      </c>
      <c r="BH22" s="606">
        <v>0</v>
      </c>
      <c r="BI22" s="606">
        <v>3.9927275216051399E-4</v>
      </c>
      <c r="BJ22" s="606">
        <v>3.3443223935436903E-5</v>
      </c>
      <c r="BK22" s="606">
        <v>1.43071714227922E-7</v>
      </c>
      <c r="BL22" s="606">
        <v>0</v>
      </c>
      <c r="BM22" s="606">
        <v>3.3586295649664899E-5</v>
      </c>
      <c r="BN22" s="608">
        <v>0.316836320011114</v>
      </c>
      <c r="BO22" s="602"/>
    </row>
    <row r="23" spans="1:67">
      <c r="A23" s="607" t="s">
        <v>76</v>
      </c>
      <c r="B23" s="606">
        <v>2040</v>
      </c>
      <c r="C23" s="606" t="s">
        <v>169</v>
      </c>
      <c r="D23" s="606" t="s">
        <v>586</v>
      </c>
      <c r="E23" s="606" t="s">
        <v>586</v>
      </c>
      <c r="F23" s="606" t="s">
        <v>125</v>
      </c>
      <c r="G23" s="606">
        <v>21.594829507974801</v>
      </c>
      <c r="H23" s="606">
        <v>926.27006649973202</v>
      </c>
      <c r="I23" s="606">
        <v>315.28451081643198</v>
      </c>
      <c r="J23" s="606">
        <v>9.6334440826359501E-4</v>
      </c>
      <c r="K23" s="606">
        <v>6.7972878594909505E-5</v>
      </c>
      <c r="L23" s="606">
        <v>4.5717971522418901E-4</v>
      </c>
      <c r="M23" s="606">
        <v>1.48849700208269E-3</v>
      </c>
      <c r="N23" s="606">
        <v>1.00862273997342E-5</v>
      </c>
      <c r="O23" s="606">
        <v>1.6232562651560801E-8</v>
      </c>
      <c r="P23" s="606">
        <v>0</v>
      </c>
      <c r="Q23" s="606">
        <v>1.01024599623857E-5</v>
      </c>
      <c r="R23" s="606">
        <v>3.0631139138200201E-6</v>
      </c>
      <c r="S23" s="606">
        <v>5.7035181075328802E-5</v>
      </c>
      <c r="T23" s="606">
        <v>7.0200754951534595E-5</v>
      </c>
      <c r="U23" s="606">
        <v>1.05422818457789E-5</v>
      </c>
      <c r="V23" s="606">
        <v>1.6966527103734501E-8</v>
      </c>
      <c r="W23" s="606">
        <v>0</v>
      </c>
      <c r="X23" s="606">
        <v>1.0559248372882701E-5</v>
      </c>
      <c r="Y23" s="606">
        <v>1.2252455655279999E-5</v>
      </c>
      <c r="Z23" s="606">
        <v>1.33082089175767E-4</v>
      </c>
      <c r="AA23" s="606">
        <v>1.5589379320392999E-4</v>
      </c>
      <c r="AB23" s="606">
        <v>0.77199996433476703</v>
      </c>
      <c r="AC23" s="606">
        <v>1.1532010038946E-2</v>
      </c>
      <c r="AD23" s="606">
        <v>0</v>
      </c>
      <c r="AE23" s="606">
        <v>0.78353197437371302</v>
      </c>
      <c r="AF23" s="606">
        <v>3.7487300534017199E-7</v>
      </c>
      <c r="AG23" s="606">
        <v>5.4543596603844301E-8</v>
      </c>
      <c r="AH23" s="606">
        <v>0</v>
      </c>
      <c r="AI23" s="606">
        <v>4.2941660194401599E-7</v>
      </c>
      <c r="AJ23" s="606">
        <v>1.2134764366093599E-4</v>
      </c>
      <c r="AK23" s="606">
        <v>1.81267138542708E-6</v>
      </c>
      <c r="AL23" s="606">
        <v>0</v>
      </c>
      <c r="AM23" s="606">
        <v>1.23160315046363E-4</v>
      </c>
      <c r="AN23" s="606">
        <v>8.0709130066267807E-6</v>
      </c>
      <c r="AO23" s="606">
        <v>1.17430867783799E-6</v>
      </c>
      <c r="AP23" s="606">
        <v>0</v>
      </c>
      <c r="AQ23" s="606">
        <v>9.2452216844647698E-6</v>
      </c>
      <c r="AR23" s="606">
        <v>0</v>
      </c>
      <c r="AS23" s="606">
        <v>0</v>
      </c>
      <c r="AT23" s="606">
        <v>0</v>
      </c>
      <c r="AU23" s="606">
        <v>0</v>
      </c>
      <c r="AV23" s="606">
        <v>9.2452216844647698E-6</v>
      </c>
      <c r="AW23" s="606">
        <v>9.1881200897455996E-6</v>
      </c>
      <c r="AX23" s="606">
        <v>1.33686103982867E-6</v>
      </c>
      <c r="AY23" s="606">
        <v>0</v>
      </c>
      <c r="AZ23" s="606">
        <v>1.0524981129574201E-5</v>
      </c>
      <c r="BA23" s="606">
        <v>0</v>
      </c>
      <c r="BB23" s="606">
        <v>0</v>
      </c>
      <c r="BC23" s="606">
        <v>0</v>
      </c>
      <c r="BD23" s="606">
        <v>0</v>
      </c>
      <c r="BE23" s="606">
        <v>1.0524981129574201E-5</v>
      </c>
      <c r="BF23" s="606">
        <v>6.68898708804171E-5</v>
      </c>
      <c r="BG23" s="606">
        <v>4.9725920714108201E-5</v>
      </c>
      <c r="BH23" s="606">
        <v>0</v>
      </c>
      <c r="BI23" s="606">
        <v>1.16615791594525E-4</v>
      </c>
      <c r="BJ23" s="606">
        <v>7.2934728702593401E-6</v>
      </c>
      <c r="BK23" s="606">
        <v>1.08948712751674E-7</v>
      </c>
      <c r="BL23" s="606">
        <v>0</v>
      </c>
      <c r="BM23" s="606">
        <v>7.4024215830110196E-6</v>
      </c>
      <c r="BN23" s="608">
        <v>6.9830744003334402E-2</v>
      </c>
      <c r="BO23" s="602"/>
    </row>
    <row r="24" spans="1:67">
      <c r="A24" s="607" t="s">
        <v>76</v>
      </c>
      <c r="B24" s="606">
        <v>2040</v>
      </c>
      <c r="C24" s="606" t="s">
        <v>168</v>
      </c>
      <c r="D24" s="606" t="s">
        <v>586</v>
      </c>
      <c r="E24" s="606" t="s">
        <v>586</v>
      </c>
      <c r="F24" s="606" t="s">
        <v>125</v>
      </c>
      <c r="G24" s="606">
        <v>34.555144672723102</v>
      </c>
      <c r="H24" s="606">
        <v>2265.1540622459402</v>
      </c>
      <c r="I24" s="606">
        <v>156.222465564445</v>
      </c>
      <c r="J24" s="606">
        <v>6.2391465680757801E-3</v>
      </c>
      <c r="K24" s="606">
        <v>1.09329695503555E-4</v>
      </c>
      <c r="L24" s="606">
        <v>4.5960437365868902E-4</v>
      </c>
      <c r="M24" s="606">
        <v>6.8080806372380299E-3</v>
      </c>
      <c r="N24" s="606">
        <v>2.6762678380765701E-5</v>
      </c>
      <c r="O24" s="606">
        <v>2.66484908180527E-8</v>
      </c>
      <c r="P24" s="606">
        <v>0</v>
      </c>
      <c r="Q24" s="606">
        <v>2.67893268715838E-5</v>
      </c>
      <c r="R24" s="606">
        <v>7.4907148314000802E-6</v>
      </c>
      <c r="S24" s="606">
        <v>1.3947711016066899E-4</v>
      </c>
      <c r="T24" s="606">
        <v>1.73757151863653E-4</v>
      </c>
      <c r="U24" s="606">
        <v>2.7972767939517501E-5</v>
      </c>
      <c r="V24" s="606">
        <v>2.7853417321918401E-8</v>
      </c>
      <c r="W24" s="606">
        <v>0</v>
      </c>
      <c r="X24" s="606">
        <v>2.80006213568394E-5</v>
      </c>
      <c r="Y24" s="606">
        <v>2.99628593256003E-5</v>
      </c>
      <c r="Z24" s="606">
        <v>3.2544659037489498E-4</v>
      </c>
      <c r="AA24" s="606">
        <v>3.8341007105733497E-4</v>
      </c>
      <c r="AB24" s="606">
        <v>2.5922135005462699</v>
      </c>
      <c r="AC24" s="606">
        <v>2.044865407625E-2</v>
      </c>
      <c r="AD24" s="606">
        <v>0</v>
      </c>
      <c r="AE24" s="606">
        <v>2.6126621546225199</v>
      </c>
      <c r="AF24" s="606">
        <v>2.0030874936652501E-6</v>
      </c>
      <c r="AG24" s="606">
        <v>8.7256314463247796E-8</v>
      </c>
      <c r="AH24" s="606">
        <v>0</v>
      </c>
      <c r="AI24" s="606">
        <v>2.0903438081285002E-6</v>
      </c>
      <c r="AJ24" s="606">
        <v>4.0745986358744498E-4</v>
      </c>
      <c r="AK24" s="606">
        <v>3.2142436565120302E-6</v>
      </c>
      <c r="AL24" s="606">
        <v>0</v>
      </c>
      <c r="AM24" s="606">
        <v>4.1067410724395702E-4</v>
      </c>
      <c r="AN24" s="606">
        <v>4.3125924448371801E-5</v>
      </c>
      <c r="AO24" s="606">
        <v>1.87860452281085E-6</v>
      </c>
      <c r="AP24" s="606">
        <v>0</v>
      </c>
      <c r="AQ24" s="606">
        <v>4.5004528971182603E-5</v>
      </c>
      <c r="AR24" s="606">
        <v>0</v>
      </c>
      <c r="AS24" s="606">
        <v>0</v>
      </c>
      <c r="AT24" s="606">
        <v>0</v>
      </c>
      <c r="AU24" s="606">
        <v>0</v>
      </c>
      <c r="AV24" s="606">
        <v>4.5004528971182603E-5</v>
      </c>
      <c r="AW24" s="606">
        <v>4.9095582183526197E-5</v>
      </c>
      <c r="AX24" s="606">
        <v>2.1386482474229298E-6</v>
      </c>
      <c r="AY24" s="606">
        <v>0</v>
      </c>
      <c r="AZ24" s="606">
        <v>5.12342304309491E-5</v>
      </c>
      <c r="BA24" s="606">
        <v>0</v>
      </c>
      <c r="BB24" s="606">
        <v>0</v>
      </c>
      <c r="BC24" s="606">
        <v>0</v>
      </c>
      <c r="BD24" s="606">
        <v>0</v>
      </c>
      <c r="BE24" s="606">
        <v>5.12342304309491E-5</v>
      </c>
      <c r="BF24" s="606">
        <v>5.2027968140461395E-4</v>
      </c>
      <c r="BG24" s="606">
        <v>7.9471818993178897E-5</v>
      </c>
      <c r="BH24" s="606">
        <v>0</v>
      </c>
      <c r="BI24" s="606">
        <v>5.9975150039779301E-4</v>
      </c>
      <c r="BJ24" s="606">
        <v>2.4489947815536101E-5</v>
      </c>
      <c r="BK24" s="606">
        <v>1.9318874433752399E-7</v>
      </c>
      <c r="BL24" s="606">
        <v>0</v>
      </c>
      <c r="BM24" s="606">
        <v>2.4683136559873599E-5</v>
      </c>
      <c r="BN24" s="608">
        <v>0.23284836873756801</v>
      </c>
      <c r="BO24" s="602"/>
    </row>
    <row r="25" spans="1:67">
      <c r="A25" s="607" t="s">
        <v>76</v>
      </c>
      <c r="B25" s="606">
        <v>2040</v>
      </c>
      <c r="C25" s="606" t="s">
        <v>167</v>
      </c>
      <c r="D25" s="606" t="s">
        <v>586</v>
      </c>
      <c r="E25" s="606" t="s">
        <v>586</v>
      </c>
      <c r="F25" s="606" t="s">
        <v>125</v>
      </c>
      <c r="G25" s="606">
        <v>742.62608246247396</v>
      </c>
      <c r="H25" s="606">
        <v>36949.326773325098</v>
      </c>
      <c r="I25" s="606">
        <v>3357.3836455771502</v>
      </c>
      <c r="J25" s="606">
        <v>8.3890738083395602E-2</v>
      </c>
      <c r="K25" s="606">
        <v>2.3380145862327102E-3</v>
      </c>
      <c r="L25" s="606">
        <v>9.9450201971817594E-3</v>
      </c>
      <c r="M25" s="606">
        <v>9.6173772866810101E-2</v>
      </c>
      <c r="N25" s="606">
        <v>3.3451100520803502E-4</v>
      </c>
      <c r="O25" s="606">
        <v>5.5869215452971605E-7</v>
      </c>
      <c r="P25" s="606">
        <v>0</v>
      </c>
      <c r="Q25" s="606">
        <v>3.3506969736256398E-4</v>
      </c>
      <c r="R25" s="606">
        <v>1.22188982499832E-4</v>
      </c>
      <c r="S25" s="606">
        <v>2.2751588541468802E-3</v>
      </c>
      <c r="T25" s="606">
        <v>2.7324175340092799E-3</v>
      </c>
      <c r="U25" s="606">
        <v>3.4963610849294099E-4</v>
      </c>
      <c r="V25" s="606">
        <v>5.8395373459783197E-7</v>
      </c>
      <c r="W25" s="606">
        <v>0</v>
      </c>
      <c r="X25" s="606">
        <v>3.50220062227538E-4</v>
      </c>
      <c r="Y25" s="606">
        <v>4.8875592999933102E-4</v>
      </c>
      <c r="Z25" s="606">
        <v>5.3087039930094001E-3</v>
      </c>
      <c r="AA25" s="606">
        <v>6.1476799852362698E-3</v>
      </c>
      <c r="AB25" s="606">
        <v>38.846641619809802</v>
      </c>
      <c r="AC25" s="606">
        <v>0.411249323877864</v>
      </c>
      <c r="AD25" s="606">
        <v>0</v>
      </c>
      <c r="AE25" s="606">
        <v>39.257890943687698</v>
      </c>
      <c r="AF25" s="606">
        <v>2.7966407870937501E-5</v>
      </c>
      <c r="AG25" s="606">
        <v>1.8757114556028201E-6</v>
      </c>
      <c r="AH25" s="606">
        <v>0</v>
      </c>
      <c r="AI25" s="606">
        <v>2.9842119326540399E-5</v>
      </c>
      <c r="AJ25" s="606">
        <v>6.1061510912980297E-3</v>
      </c>
      <c r="AK25" s="606">
        <v>6.4642666729569702E-5</v>
      </c>
      <c r="AL25" s="606">
        <v>0</v>
      </c>
      <c r="AM25" s="606">
        <v>6.1707937580275998E-3</v>
      </c>
      <c r="AN25" s="606">
        <v>6.02109092462817E-4</v>
      </c>
      <c r="AO25" s="606">
        <v>4.03835532781729E-5</v>
      </c>
      <c r="AP25" s="606">
        <v>0</v>
      </c>
      <c r="AQ25" s="606">
        <v>6.4249264574099002E-4</v>
      </c>
      <c r="AR25" s="606">
        <v>0</v>
      </c>
      <c r="AS25" s="606">
        <v>0</v>
      </c>
      <c r="AT25" s="606">
        <v>0</v>
      </c>
      <c r="AU25" s="606">
        <v>0</v>
      </c>
      <c r="AV25" s="606">
        <v>6.4249264574099002E-4</v>
      </c>
      <c r="AW25" s="606">
        <v>6.8545536844886502E-4</v>
      </c>
      <c r="AX25" s="606">
        <v>4.5973601359082399E-5</v>
      </c>
      <c r="AY25" s="606">
        <v>0</v>
      </c>
      <c r="AZ25" s="606">
        <v>7.3142896980794804E-4</v>
      </c>
      <c r="BA25" s="606">
        <v>0</v>
      </c>
      <c r="BB25" s="606">
        <v>0</v>
      </c>
      <c r="BC25" s="606">
        <v>0</v>
      </c>
      <c r="BD25" s="606">
        <v>0</v>
      </c>
      <c r="BE25" s="606">
        <v>7.3142896980794804E-4</v>
      </c>
      <c r="BF25" s="606">
        <v>7.5258161117308601E-3</v>
      </c>
      <c r="BG25" s="606">
        <v>1.7099330934998999E-3</v>
      </c>
      <c r="BH25" s="606">
        <v>0</v>
      </c>
      <c r="BI25" s="606">
        <v>9.2357492052307696E-3</v>
      </c>
      <c r="BJ25" s="606">
        <v>3.67003808088144E-4</v>
      </c>
      <c r="BK25" s="606">
        <v>3.8852796958356298E-6</v>
      </c>
      <c r="BL25" s="606">
        <v>0</v>
      </c>
      <c r="BM25" s="606">
        <v>3.7088908778397899E-4</v>
      </c>
      <c r="BN25" s="608">
        <v>3.4987822096101699</v>
      </c>
      <c r="BO25" s="602"/>
    </row>
    <row r="26" spans="1:67">
      <c r="A26" s="607" t="s">
        <v>76</v>
      </c>
      <c r="B26" s="606">
        <v>2040</v>
      </c>
      <c r="C26" s="606" t="s">
        <v>166</v>
      </c>
      <c r="D26" s="606" t="s">
        <v>586</v>
      </c>
      <c r="E26" s="606" t="s">
        <v>586</v>
      </c>
      <c r="F26" s="606" t="s">
        <v>125</v>
      </c>
      <c r="G26" s="606">
        <v>1895.5485489077601</v>
      </c>
      <c r="H26" s="606">
        <v>201550.07525850099</v>
      </c>
      <c r="I26" s="606">
        <v>21874.367446590899</v>
      </c>
      <c r="J26" s="606">
        <v>0.33602565513071198</v>
      </c>
      <c r="K26" s="606">
        <v>5.9665157966670903E-3</v>
      </c>
      <c r="L26" s="606">
        <v>5.15973064422433E-2</v>
      </c>
      <c r="M26" s="606">
        <v>0.39358947736962302</v>
      </c>
      <c r="N26" s="606">
        <v>1.5482041991387E-3</v>
      </c>
      <c r="O26" s="606">
        <v>1.4248600836537001E-6</v>
      </c>
      <c r="P26" s="606">
        <v>0</v>
      </c>
      <c r="Q26" s="606">
        <v>1.54962905922235E-3</v>
      </c>
      <c r="R26" s="606">
        <v>6.6651278302532195E-4</v>
      </c>
      <c r="S26" s="606">
        <v>1.2410468019931399E-2</v>
      </c>
      <c r="T26" s="606">
        <v>1.4626609862179099E-2</v>
      </c>
      <c r="U26" s="606">
        <v>1.6182071229693699E-3</v>
      </c>
      <c r="V26" s="606">
        <v>1.48928593391355E-6</v>
      </c>
      <c r="W26" s="606">
        <v>0</v>
      </c>
      <c r="X26" s="606">
        <v>1.6196964089032801E-3</v>
      </c>
      <c r="Y26" s="606">
        <v>2.66605113210128E-3</v>
      </c>
      <c r="Z26" s="606">
        <v>2.89577587131735E-2</v>
      </c>
      <c r="AA26" s="606">
        <v>3.3243506254177997E-2</v>
      </c>
      <c r="AB26" s="606">
        <v>168.946933285608</v>
      </c>
      <c r="AC26" s="606">
        <v>1.0745111907396701</v>
      </c>
      <c r="AD26" s="606">
        <v>0</v>
      </c>
      <c r="AE26" s="606">
        <v>170.02144447634799</v>
      </c>
      <c r="AF26" s="606">
        <v>9.5385670286863295E-5</v>
      </c>
      <c r="AG26" s="606">
        <v>4.7877217718457203E-6</v>
      </c>
      <c r="AH26" s="606">
        <v>0</v>
      </c>
      <c r="AI26" s="606">
        <v>1.00173392058709E-4</v>
      </c>
      <c r="AJ26" s="606">
        <v>2.6556105187927E-2</v>
      </c>
      <c r="AK26" s="606">
        <v>1.6889819573492201E-4</v>
      </c>
      <c r="AL26" s="606">
        <v>0</v>
      </c>
      <c r="AM26" s="606">
        <v>2.6725003383661999E-2</v>
      </c>
      <c r="AN26" s="606">
        <v>2.0536273244467699E-3</v>
      </c>
      <c r="AO26" s="606">
        <v>1.03078336850196E-4</v>
      </c>
      <c r="AP26" s="606">
        <v>0</v>
      </c>
      <c r="AQ26" s="606">
        <v>2.15670566129697E-3</v>
      </c>
      <c r="AR26" s="606">
        <v>0</v>
      </c>
      <c r="AS26" s="606">
        <v>0</v>
      </c>
      <c r="AT26" s="606">
        <v>0</v>
      </c>
      <c r="AU26" s="606">
        <v>0</v>
      </c>
      <c r="AV26" s="606">
        <v>2.15670566129697E-3</v>
      </c>
      <c r="AW26" s="606">
        <v>2.33789838412422E-3</v>
      </c>
      <c r="AX26" s="606">
        <v>1.17346840048111E-4</v>
      </c>
      <c r="AY26" s="606">
        <v>0</v>
      </c>
      <c r="AZ26" s="606">
        <v>2.45524522417233E-3</v>
      </c>
      <c r="BA26" s="606">
        <v>0</v>
      </c>
      <c r="BB26" s="606">
        <v>0</v>
      </c>
      <c r="BC26" s="606">
        <v>0</v>
      </c>
      <c r="BD26" s="606">
        <v>0</v>
      </c>
      <c r="BE26" s="606">
        <v>2.45524522417233E-3</v>
      </c>
      <c r="BF26" s="606">
        <v>2.3368163175313698E-2</v>
      </c>
      <c r="BG26" s="606">
        <v>4.3648363520499903E-3</v>
      </c>
      <c r="BH26" s="606">
        <v>0</v>
      </c>
      <c r="BI26" s="606">
        <v>2.7732999527363699E-2</v>
      </c>
      <c r="BJ26" s="606">
        <v>1.5961268540911099E-3</v>
      </c>
      <c r="BK26" s="606">
        <v>1.01514489384762E-5</v>
      </c>
      <c r="BL26" s="606">
        <v>0</v>
      </c>
      <c r="BM26" s="606">
        <v>1.60627830302959E-3</v>
      </c>
      <c r="BN26" s="608">
        <v>15.152826371629599</v>
      </c>
      <c r="BO26" s="602"/>
    </row>
    <row r="27" spans="1:67">
      <c r="A27" s="607" t="s">
        <v>76</v>
      </c>
      <c r="B27" s="606">
        <v>2040</v>
      </c>
      <c r="C27" s="606" t="s">
        <v>165</v>
      </c>
      <c r="D27" s="606" t="s">
        <v>586</v>
      </c>
      <c r="E27" s="606" t="s">
        <v>586</v>
      </c>
      <c r="F27" s="606" t="s">
        <v>125</v>
      </c>
      <c r="G27" s="606">
        <v>5784.4241788637701</v>
      </c>
      <c r="H27" s="606">
        <v>264595.74443729903</v>
      </c>
      <c r="I27" s="606">
        <v>66751.453044196503</v>
      </c>
      <c r="J27" s="606">
        <v>0.41908722538447901</v>
      </c>
      <c r="K27" s="606">
        <v>1.82073195950061E-2</v>
      </c>
      <c r="L27" s="606">
        <v>0.15759967572592801</v>
      </c>
      <c r="M27" s="606">
        <v>0.59489422070541398</v>
      </c>
      <c r="N27" s="606">
        <v>1.8996676048305E-3</v>
      </c>
      <c r="O27" s="606">
        <v>4.3480791479244896E-6</v>
      </c>
      <c r="P27" s="606">
        <v>0</v>
      </c>
      <c r="Q27" s="606">
        <v>1.9040156839784199E-3</v>
      </c>
      <c r="R27" s="606">
        <v>8.7500064574708202E-4</v>
      </c>
      <c r="S27" s="606">
        <v>1.6292512023810601E-2</v>
      </c>
      <c r="T27" s="606">
        <v>1.90715283535361E-2</v>
      </c>
      <c r="U27" s="606">
        <v>1.9855621442707899E-3</v>
      </c>
      <c r="V27" s="606">
        <v>4.5446799926781703E-6</v>
      </c>
      <c r="W27" s="606">
        <v>0</v>
      </c>
      <c r="X27" s="606">
        <v>1.9901068242634602E-3</v>
      </c>
      <c r="Y27" s="606">
        <v>3.5000025829883198E-3</v>
      </c>
      <c r="Z27" s="606">
        <v>3.80158613888915E-2</v>
      </c>
      <c r="AA27" s="606">
        <v>4.3505970796143302E-2</v>
      </c>
      <c r="AB27" s="606">
        <v>236.35448012070401</v>
      </c>
      <c r="AC27" s="606">
        <v>3.1772537968551098</v>
      </c>
      <c r="AD27" s="606">
        <v>0</v>
      </c>
      <c r="AE27" s="606">
        <v>239.531733917559</v>
      </c>
      <c r="AF27" s="606">
        <v>1.21588504258888E-4</v>
      </c>
      <c r="AG27" s="606">
        <v>1.46101315076813E-5</v>
      </c>
      <c r="AH27" s="606">
        <v>0</v>
      </c>
      <c r="AI27" s="606">
        <v>1.3619863576657E-4</v>
      </c>
      <c r="AJ27" s="606">
        <v>3.7151632845044899E-2</v>
      </c>
      <c r="AK27" s="606">
        <v>4.9942005100137704E-4</v>
      </c>
      <c r="AL27" s="606">
        <v>0</v>
      </c>
      <c r="AM27" s="606">
        <v>3.7651052896046297E-2</v>
      </c>
      <c r="AN27" s="606">
        <v>2.61776715447641E-3</v>
      </c>
      <c r="AO27" s="606">
        <v>3.1455212494394203E-4</v>
      </c>
      <c r="AP27" s="606">
        <v>0</v>
      </c>
      <c r="AQ27" s="606">
        <v>2.9323192794203502E-3</v>
      </c>
      <c r="AR27" s="606">
        <v>0</v>
      </c>
      <c r="AS27" s="606">
        <v>0</v>
      </c>
      <c r="AT27" s="606">
        <v>0</v>
      </c>
      <c r="AU27" s="606">
        <v>0</v>
      </c>
      <c r="AV27" s="606">
        <v>2.9323192794203502E-3</v>
      </c>
      <c r="AW27" s="606">
        <v>2.9801286375620898E-3</v>
      </c>
      <c r="AX27" s="606">
        <v>3.5809365013556602E-4</v>
      </c>
      <c r="AY27" s="606">
        <v>0</v>
      </c>
      <c r="AZ27" s="606">
        <v>3.33822228769766E-3</v>
      </c>
      <c r="BA27" s="606">
        <v>0</v>
      </c>
      <c r="BB27" s="606">
        <v>0</v>
      </c>
      <c r="BC27" s="606">
        <v>0</v>
      </c>
      <c r="BD27" s="606">
        <v>0</v>
      </c>
      <c r="BE27" s="606">
        <v>3.33822228769766E-3</v>
      </c>
      <c r="BF27" s="606">
        <v>2.9787306329623901E-2</v>
      </c>
      <c r="BG27" s="606">
        <v>1.3319661448993001E-2</v>
      </c>
      <c r="BH27" s="606">
        <v>0</v>
      </c>
      <c r="BI27" s="606">
        <v>4.3106967778617E-2</v>
      </c>
      <c r="BJ27" s="606">
        <v>2.23295993285446E-3</v>
      </c>
      <c r="BK27" s="606">
        <v>3.0017118445412899E-5</v>
      </c>
      <c r="BL27" s="606">
        <v>0</v>
      </c>
      <c r="BM27" s="606">
        <v>2.26297705129987E-3</v>
      </c>
      <c r="BN27" s="608">
        <v>21.347794013437301</v>
      </c>
      <c r="BO27" s="602"/>
    </row>
    <row r="28" spans="1:67">
      <c r="A28" s="607" t="s">
        <v>76</v>
      </c>
      <c r="B28" s="606">
        <v>2040</v>
      </c>
      <c r="C28" s="606" t="s">
        <v>164</v>
      </c>
      <c r="D28" s="606" t="s">
        <v>586</v>
      </c>
      <c r="E28" s="606" t="s">
        <v>586</v>
      </c>
      <c r="F28" s="606" t="s">
        <v>125</v>
      </c>
      <c r="G28" s="606">
        <v>18.495600350561102</v>
      </c>
      <c r="H28" s="606">
        <v>3098.76116073612</v>
      </c>
      <c r="I28" s="606">
        <v>270.03576511819199</v>
      </c>
      <c r="J28" s="606">
        <v>3.1127878469597698E-3</v>
      </c>
      <c r="K28" s="606">
        <v>5.8217602352654899E-5</v>
      </c>
      <c r="L28" s="606">
        <v>3.9155895965198599E-4</v>
      </c>
      <c r="M28" s="606">
        <v>3.5625644089644099E-3</v>
      </c>
      <c r="N28" s="606">
        <v>3.2193975550507599E-5</v>
      </c>
      <c r="O28" s="606">
        <v>1.39029109425402E-8</v>
      </c>
      <c r="P28" s="606">
        <v>0</v>
      </c>
      <c r="Q28" s="606">
        <v>3.2207878461450099E-5</v>
      </c>
      <c r="R28" s="606">
        <v>1.02473984319978E-5</v>
      </c>
      <c r="S28" s="606">
        <v>1.9080655880379999E-4</v>
      </c>
      <c r="T28" s="606">
        <v>2.3326183569724799E-4</v>
      </c>
      <c r="U28" s="606">
        <v>3.3649644266250798E-5</v>
      </c>
      <c r="V28" s="606">
        <v>1.4531538882108299E-8</v>
      </c>
      <c r="W28" s="606">
        <v>0</v>
      </c>
      <c r="X28" s="606">
        <v>3.3664175805132897E-5</v>
      </c>
      <c r="Y28" s="606">
        <v>4.0989593727991302E-5</v>
      </c>
      <c r="Z28" s="606">
        <v>4.4521530387553303E-4</v>
      </c>
      <c r="AA28" s="606">
        <v>5.1986907340865703E-4</v>
      </c>
      <c r="AB28" s="606">
        <v>2.3289159435390698</v>
      </c>
      <c r="AC28" s="606">
        <v>9.8842261375120706E-3</v>
      </c>
      <c r="AD28" s="606">
        <v>0</v>
      </c>
      <c r="AE28" s="606">
        <v>2.3388001696765799</v>
      </c>
      <c r="AF28" s="606">
        <v>1.2313135126923701E-6</v>
      </c>
      <c r="AG28" s="606">
        <v>4.6715653119390397E-8</v>
      </c>
      <c r="AH28" s="606">
        <v>0</v>
      </c>
      <c r="AI28" s="606">
        <v>1.2780291658117601E-6</v>
      </c>
      <c r="AJ28" s="606">
        <v>3.66073154260281E-4</v>
      </c>
      <c r="AK28" s="606">
        <v>1.5536627028635599E-6</v>
      </c>
      <c r="AL28" s="606">
        <v>0</v>
      </c>
      <c r="AM28" s="606">
        <v>3.6762681696314402E-4</v>
      </c>
      <c r="AN28" s="606">
        <v>2.6509842275269401E-5</v>
      </c>
      <c r="AO28" s="606">
        <v>1.00577520121038E-6</v>
      </c>
      <c r="AP28" s="606">
        <v>0</v>
      </c>
      <c r="AQ28" s="606">
        <v>2.75156174764797E-5</v>
      </c>
      <c r="AR28" s="606">
        <v>0</v>
      </c>
      <c r="AS28" s="606">
        <v>0</v>
      </c>
      <c r="AT28" s="606">
        <v>0</v>
      </c>
      <c r="AU28" s="606">
        <v>0</v>
      </c>
      <c r="AV28" s="606">
        <v>2.75156174764797E-5</v>
      </c>
      <c r="AW28" s="606">
        <v>3.01794374670371E-5</v>
      </c>
      <c r="AX28" s="606">
        <v>1.1449985056735699E-6</v>
      </c>
      <c r="AY28" s="606">
        <v>0</v>
      </c>
      <c r="AZ28" s="606">
        <v>3.1324435972710699E-5</v>
      </c>
      <c r="BA28" s="606">
        <v>0</v>
      </c>
      <c r="BB28" s="606">
        <v>0</v>
      </c>
      <c r="BC28" s="606">
        <v>0</v>
      </c>
      <c r="BD28" s="606">
        <v>0</v>
      </c>
      <c r="BE28" s="606">
        <v>3.1324435972710699E-5</v>
      </c>
      <c r="BF28" s="606">
        <v>2.1970747416539399E-4</v>
      </c>
      <c r="BG28" s="606">
        <v>4.2589396515132999E-5</v>
      </c>
      <c r="BH28" s="606">
        <v>0</v>
      </c>
      <c r="BI28" s="606">
        <v>2.62296870680527E-4</v>
      </c>
      <c r="BJ28" s="606">
        <v>2.2002443051863901E-5</v>
      </c>
      <c r="BK28" s="606">
        <v>9.3381267497302106E-8</v>
      </c>
      <c r="BL28" s="606">
        <v>0</v>
      </c>
      <c r="BM28" s="606">
        <v>2.2095824319361201E-5</v>
      </c>
      <c r="BN28" s="608">
        <v>0.20844095871669399</v>
      </c>
      <c r="BO28" s="602"/>
    </row>
    <row r="29" spans="1:67">
      <c r="A29" s="607" t="s">
        <v>76</v>
      </c>
      <c r="B29" s="606">
        <v>2040</v>
      </c>
      <c r="C29" s="606" t="s">
        <v>163</v>
      </c>
      <c r="D29" s="606" t="s">
        <v>586</v>
      </c>
      <c r="E29" s="606" t="s">
        <v>586</v>
      </c>
      <c r="F29" s="606" t="s">
        <v>125</v>
      </c>
      <c r="G29" s="606">
        <v>9.6059896331656098</v>
      </c>
      <c r="H29" s="606">
        <v>406.89946831025401</v>
      </c>
      <c r="I29" s="606">
        <v>140.247448644217</v>
      </c>
      <c r="J29" s="606">
        <v>4.2625315433985901E-4</v>
      </c>
      <c r="K29" s="606">
        <v>3.02362547885824E-5</v>
      </c>
      <c r="L29" s="606">
        <v>2.03347524926249E-4</v>
      </c>
      <c r="M29" s="606">
        <v>6.5983693405468995E-4</v>
      </c>
      <c r="N29" s="606">
        <v>4.4688406922732902E-6</v>
      </c>
      <c r="O29" s="606">
        <v>7.22070199688408E-9</v>
      </c>
      <c r="P29" s="606">
        <v>0</v>
      </c>
      <c r="Q29" s="606">
        <v>4.4760613942701702E-6</v>
      </c>
      <c r="R29" s="606">
        <v>1.3455896589825401E-6</v>
      </c>
      <c r="S29" s="606">
        <v>2.50548794502549E-5</v>
      </c>
      <c r="T29" s="606">
        <v>3.0876530503507599E-5</v>
      </c>
      <c r="U29" s="606">
        <v>4.6709018381910099E-6</v>
      </c>
      <c r="V29" s="606">
        <v>7.54719009979261E-9</v>
      </c>
      <c r="W29" s="606">
        <v>0</v>
      </c>
      <c r="X29" s="606">
        <v>4.6784490282908003E-6</v>
      </c>
      <c r="Y29" s="606">
        <v>5.3823586359301602E-6</v>
      </c>
      <c r="Z29" s="606">
        <v>5.84613853839281E-5</v>
      </c>
      <c r="AA29" s="606">
        <v>6.8522193048149005E-5</v>
      </c>
      <c r="AB29" s="606">
        <v>0.33985119824024601</v>
      </c>
      <c r="AC29" s="606">
        <v>5.1485162823443897E-3</v>
      </c>
      <c r="AD29" s="606">
        <v>0</v>
      </c>
      <c r="AE29" s="606">
        <v>0.34499971452259098</v>
      </c>
      <c r="AF29" s="606">
        <v>1.65240341150061E-7</v>
      </c>
      <c r="AG29" s="606">
        <v>2.4262531146106301E-8</v>
      </c>
      <c r="AH29" s="606">
        <v>0</v>
      </c>
      <c r="AI29" s="606">
        <v>1.8950287229616799E-7</v>
      </c>
      <c r="AJ29" s="606">
        <v>5.3419875656777101E-5</v>
      </c>
      <c r="AK29" s="606">
        <v>8.0927506227388597E-7</v>
      </c>
      <c r="AL29" s="606">
        <v>0</v>
      </c>
      <c r="AM29" s="606">
        <v>5.4229150719051001E-5</v>
      </c>
      <c r="AN29" s="606">
        <v>3.5575792324584402E-6</v>
      </c>
      <c r="AO29" s="606">
        <v>5.2236564226091098E-7</v>
      </c>
      <c r="AP29" s="606">
        <v>0</v>
      </c>
      <c r="AQ29" s="606">
        <v>4.07994487471935E-6</v>
      </c>
      <c r="AR29" s="606">
        <v>0</v>
      </c>
      <c r="AS29" s="606">
        <v>0</v>
      </c>
      <c r="AT29" s="606">
        <v>0</v>
      </c>
      <c r="AU29" s="606">
        <v>0</v>
      </c>
      <c r="AV29" s="606">
        <v>4.07994487471935E-6</v>
      </c>
      <c r="AW29" s="606">
        <v>4.0500331486381298E-6</v>
      </c>
      <c r="AX29" s="606">
        <v>5.9467352056818999E-7</v>
      </c>
      <c r="AY29" s="606">
        <v>0</v>
      </c>
      <c r="AZ29" s="606">
        <v>4.6447066692063204E-6</v>
      </c>
      <c r="BA29" s="606">
        <v>0</v>
      </c>
      <c r="BB29" s="606">
        <v>0</v>
      </c>
      <c r="BC29" s="606">
        <v>0</v>
      </c>
      <c r="BD29" s="606">
        <v>0</v>
      </c>
      <c r="BE29" s="606">
        <v>4.6447066692063204E-6</v>
      </c>
      <c r="BF29" s="606">
        <v>2.9484397515752101E-5</v>
      </c>
      <c r="BG29" s="606">
        <v>2.2119492941721898E-5</v>
      </c>
      <c r="BH29" s="606">
        <v>0</v>
      </c>
      <c r="BI29" s="606">
        <v>5.1603890457474101E-5</v>
      </c>
      <c r="BJ29" s="606">
        <v>3.2107456072569398E-6</v>
      </c>
      <c r="BK29" s="606">
        <v>4.8640628966511298E-8</v>
      </c>
      <c r="BL29" s="606">
        <v>0</v>
      </c>
      <c r="BM29" s="606">
        <v>3.25938623622345E-6</v>
      </c>
      <c r="BN29" s="608">
        <v>3.0747420059413898E-2</v>
      </c>
      <c r="BO29" s="602"/>
    </row>
    <row r="30" spans="1:67">
      <c r="A30" s="607" t="s">
        <v>76</v>
      </c>
      <c r="B30" s="606">
        <v>2040</v>
      </c>
      <c r="C30" s="606" t="s">
        <v>162</v>
      </c>
      <c r="D30" s="606" t="s">
        <v>586</v>
      </c>
      <c r="E30" s="606" t="s">
        <v>586</v>
      </c>
      <c r="F30" s="606" t="s">
        <v>125</v>
      </c>
      <c r="G30" s="606">
        <v>423.59515224225902</v>
      </c>
      <c r="H30" s="606">
        <v>6560.8893130947099</v>
      </c>
      <c r="I30" s="606">
        <v>1284.9052938499401</v>
      </c>
      <c r="J30" s="606">
        <v>1.10584950665037E-2</v>
      </c>
      <c r="K30" s="606">
        <v>7.9183806309136903E-3</v>
      </c>
      <c r="L30" s="606">
        <v>4.2389825209322197E-3</v>
      </c>
      <c r="M30" s="606">
        <v>2.3215858218349698E-2</v>
      </c>
      <c r="N30" s="606">
        <v>4.1012756735863398E-5</v>
      </c>
      <c r="O30" s="606">
        <v>2.7061583271964102E-6</v>
      </c>
      <c r="P30" s="606">
        <v>0</v>
      </c>
      <c r="Q30" s="606">
        <v>4.3718915063059801E-5</v>
      </c>
      <c r="R30" s="606">
        <v>2.1696427498641701E-5</v>
      </c>
      <c r="S30" s="606">
        <v>4.0398748002470799E-4</v>
      </c>
      <c r="T30" s="606">
        <v>4.6940282258641001E-4</v>
      </c>
      <c r="U30" s="606">
        <v>4.2867171604046499E-5</v>
      </c>
      <c r="V30" s="606">
        <v>2.82851879835251E-6</v>
      </c>
      <c r="W30" s="606">
        <v>0</v>
      </c>
      <c r="X30" s="606">
        <v>4.5695690402399003E-5</v>
      </c>
      <c r="Y30" s="606">
        <v>8.6785709994566804E-5</v>
      </c>
      <c r="Z30" s="606">
        <v>9.4263745339098596E-4</v>
      </c>
      <c r="AA30" s="606">
        <v>1.07511885378795E-3</v>
      </c>
      <c r="AB30" s="606">
        <v>6.4853312085614299</v>
      </c>
      <c r="AC30" s="606">
        <v>1.2652838612035</v>
      </c>
      <c r="AD30" s="606">
        <v>0</v>
      </c>
      <c r="AE30" s="606">
        <v>7.7506150697649403</v>
      </c>
      <c r="AF30" s="606">
        <v>5.2445979372612904E-6</v>
      </c>
      <c r="AG30" s="606">
        <v>5.6060916355178402E-6</v>
      </c>
      <c r="AH30" s="606">
        <v>0</v>
      </c>
      <c r="AI30" s="606">
        <v>1.0850689572779099E-5</v>
      </c>
      <c r="AJ30" s="606">
        <v>1.01940375243126E-3</v>
      </c>
      <c r="AK30" s="606">
        <v>1.9888500286598001E-4</v>
      </c>
      <c r="AL30" s="606">
        <v>0</v>
      </c>
      <c r="AM30" s="606">
        <v>1.21828875529724E-3</v>
      </c>
      <c r="AN30" s="606">
        <v>1.12914755406193E-4</v>
      </c>
      <c r="AO30" s="606">
        <v>1.20697615600207E-4</v>
      </c>
      <c r="AP30" s="606">
        <v>0</v>
      </c>
      <c r="AQ30" s="606">
        <v>2.3361237100640001E-4</v>
      </c>
      <c r="AR30" s="606">
        <v>0</v>
      </c>
      <c r="AS30" s="606">
        <v>0</v>
      </c>
      <c r="AT30" s="606">
        <v>0</v>
      </c>
      <c r="AU30" s="606">
        <v>0</v>
      </c>
      <c r="AV30" s="606">
        <v>2.3361237100640001E-4</v>
      </c>
      <c r="AW30" s="606">
        <v>1.2854485381325699E-4</v>
      </c>
      <c r="AX30" s="606">
        <v>1.37405047702794E-4</v>
      </c>
      <c r="AY30" s="606">
        <v>0</v>
      </c>
      <c r="AZ30" s="606">
        <v>2.6594990151605102E-4</v>
      </c>
      <c r="BA30" s="606">
        <v>0</v>
      </c>
      <c r="BB30" s="606">
        <v>0</v>
      </c>
      <c r="BC30" s="606">
        <v>0</v>
      </c>
      <c r="BD30" s="606">
        <v>0</v>
      </c>
      <c r="BE30" s="606">
        <v>2.6594990151605102E-4</v>
      </c>
      <c r="BF30" s="606">
        <v>8.82184005156207E-4</v>
      </c>
      <c r="BG30" s="606">
        <v>4.9123211998066702E-3</v>
      </c>
      <c r="BH30" s="606">
        <v>0</v>
      </c>
      <c r="BI30" s="606">
        <v>5.7945052049628697E-3</v>
      </c>
      <c r="BJ30" s="606">
        <v>6.1270193535627995E-5</v>
      </c>
      <c r="BK30" s="606">
        <v>1.1953774535231699E-5</v>
      </c>
      <c r="BL30" s="606">
        <v>0</v>
      </c>
      <c r="BM30" s="606">
        <v>7.3223968070859695E-5</v>
      </c>
      <c r="BN30" s="608">
        <v>0.690758302796455</v>
      </c>
      <c r="BO30" s="602"/>
    </row>
    <row r="31" spans="1:67">
      <c r="A31" s="607" t="s">
        <v>76</v>
      </c>
      <c r="B31" s="606">
        <v>2040</v>
      </c>
      <c r="C31" s="606" t="s">
        <v>161</v>
      </c>
      <c r="D31" s="606" t="s">
        <v>586</v>
      </c>
      <c r="E31" s="606" t="s">
        <v>586</v>
      </c>
      <c r="F31" s="606" t="s">
        <v>125</v>
      </c>
      <c r="G31" s="606">
        <v>94.401723603570503</v>
      </c>
      <c r="H31" s="606">
        <v>1574.3624349935601</v>
      </c>
      <c r="I31" s="606">
        <v>1085.6198214410599</v>
      </c>
      <c r="J31" s="606">
        <v>1.62112291740006E-3</v>
      </c>
      <c r="K31" s="606">
        <v>8.1664680951971003E-4</v>
      </c>
      <c r="L31" s="606">
        <v>2.3607598094228599E-3</v>
      </c>
      <c r="M31" s="606">
        <v>4.7985295363426397E-3</v>
      </c>
      <c r="N31" s="606">
        <v>5.6090333824197397E-6</v>
      </c>
      <c r="O31" s="606">
        <v>1.9502293817403099E-7</v>
      </c>
      <c r="P31" s="606">
        <v>0</v>
      </c>
      <c r="Q31" s="606">
        <v>5.8040563205937701E-6</v>
      </c>
      <c r="R31" s="606">
        <v>5.20631255876361E-6</v>
      </c>
      <c r="S31" s="606">
        <v>9.6941539844178494E-5</v>
      </c>
      <c r="T31" s="606">
        <v>1.07951908723535E-4</v>
      </c>
      <c r="U31" s="606">
        <v>5.8626489822557502E-6</v>
      </c>
      <c r="V31" s="606">
        <v>2.0384101003678999E-7</v>
      </c>
      <c r="W31" s="606">
        <v>0</v>
      </c>
      <c r="X31" s="606">
        <v>6.0664899922925402E-6</v>
      </c>
      <c r="Y31" s="606">
        <v>2.0825250235054399E-5</v>
      </c>
      <c r="Z31" s="606">
        <v>2.26196926303083E-4</v>
      </c>
      <c r="AA31" s="606">
        <v>2.5308866653043002E-4</v>
      </c>
      <c r="AB31" s="606">
        <v>1.3713094755003301</v>
      </c>
      <c r="AC31" s="606">
        <v>0.13825942595922</v>
      </c>
      <c r="AD31" s="606">
        <v>0</v>
      </c>
      <c r="AE31" s="606">
        <v>1.5095689014595499</v>
      </c>
      <c r="AF31" s="606">
        <v>5.8520729855784598E-7</v>
      </c>
      <c r="AG31" s="606">
        <v>6.5530333666927295E-7</v>
      </c>
      <c r="AH31" s="606">
        <v>0</v>
      </c>
      <c r="AI31" s="606">
        <v>1.24051063522711E-6</v>
      </c>
      <c r="AJ31" s="606">
        <v>2.1555075293982801E-4</v>
      </c>
      <c r="AK31" s="606">
        <v>2.1732456384919902E-5</v>
      </c>
      <c r="AL31" s="606">
        <v>0</v>
      </c>
      <c r="AM31" s="606">
        <v>2.3728320932474799E-4</v>
      </c>
      <c r="AN31" s="606">
        <v>1.25993526613566E-5</v>
      </c>
      <c r="AO31" s="606">
        <v>1.4108501140034401E-5</v>
      </c>
      <c r="AP31" s="606">
        <v>0</v>
      </c>
      <c r="AQ31" s="606">
        <v>2.6707853801391001E-5</v>
      </c>
      <c r="AR31" s="606">
        <v>0</v>
      </c>
      <c r="AS31" s="606">
        <v>0</v>
      </c>
      <c r="AT31" s="606">
        <v>0</v>
      </c>
      <c r="AU31" s="606">
        <v>0</v>
      </c>
      <c r="AV31" s="606">
        <v>2.6707853801391001E-5</v>
      </c>
      <c r="AW31" s="606">
        <v>1.43434039259932E-5</v>
      </c>
      <c r="AX31" s="606">
        <v>1.6061454590640902E-5</v>
      </c>
      <c r="AY31" s="606">
        <v>0</v>
      </c>
      <c r="AZ31" s="606">
        <v>3.0404858516634101E-5</v>
      </c>
      <c r="BA31" s="606">
        <v>0</v>
      </c>
      <c r="BB31" s="606">
        <v>0</v>
      </c>
      <c r="BC31" s="606">
        <v>0</v>
      </c>
      <c r="BD31" s="606">
        <v>0</v>
      </c>
      <c r="BE31" s="606">
        <v>3.0404858516634101E-5</v>
      </c>
      <c r="BF31" s="606">
        <v>1.4745898860879999E-4</v>
      </c>
      <c r="BG31" s="606">
        <v>5.9742231520922701E-4</v>
      </c>
      <c r="BH31" s="606">
        <v>0</v>
      </c>
      <c r="BI31" s="606">
        <v>7.4488130381802702E-4</v>
      </c>
      <c r="BJ31" s="606">
        <v>1.2955451966775201E-5</v>
      </c>
      <c r="BK31" s="606">
        <v>1.3062065011364799E-6</v>
      </c>
      <c r="BL31" s="606">
        <v>0</v>
      </c>
      <c r="BM31" s="606">
        <v>1.4261658467911699E-5</v>
      </c>
      <c r="BN31" s="608">
        <v>0.13453735515704399</v>
      </c>
      <c r="BO31" s="602"/>
    </row>
    <row r="32" spans="1:67">
      <c r="A32" s="607" t="s">
        <v>76</v>
      </c>
      <c r="B32" s="606">
        <v>2040</v>
      </c>
      <c r="C32" s="606" t="s">
        <v>160</v>
      </c>
      <c r="D32" s="606" t="s">
        <v>586</v>
      </c>
      <c r="E32" s="606" t="s">
        <v>586</v>
      </c>
      <c r="F32" s="606" t="s">
        <v>125</v>
      </c>
      <c r="G32" s="606">
        <v>0.75825900740117502</v>
      </c>
      <c r="H32" s="606">
        <v>7.8267303252608498</v>
      </c>
      <c r="I32" s="606">
        <v>3.33633963256516</v>
      </c>
      <c r="J32" s="606">
        <v>3.6129474099640398E-5</v>
      </c>
      <c r="K32" s="606">
        <v>7.2117097279248297E-6</v>
      </c>
      <c r="L32" s="606">
        <v>2.4313520280955199E-5</v>
      </c>
      <c r="M32" s="606">
        <v>6.7654704108520498E-5</v>
      </c>
      <c r="N32" s="606">
        <v>3.8709624117340902E-7</v>
      </c>
      <c r="O32" s="606">
        <v>2.4849126553417801E-9</v>
      </c>
      <c r="P32" s="606">
        <v>0</v>
      </c>
      <c r="Q32" s="606">
        <v>3.8958115382874998E-7</v>
      </c>
      <c r="R32" s="606">
        <v>7.7647440285809604E-8</v>
      </c>
      <c r="S32" s="606">
        <v>2.2828347444028E-7</v>
      </c>
      <c r="T32" s="606">
        <v>6.9551206855484003E-7</v>
      </c>
      <c r="U32" s="606">
        <v>4.0459901548514001E-7</v>
      </c>
      <c r="V32" s="606">
        <v>2.5972693789797399E-9</v>
      </c>
      <c r="W32" s="606">
        <v>0</v>
      </c>
      <c r="X32" s="606">
        <v>4.0719628486412E-7</v>
      </c>
      <c r="Y32" s="606">
        <v>3.1058976114323799E-7</v>
      </c>
      <c r="Z32" s="606">
        <v>5.3266144036065402E-7</v>
      </c>
      <c r="AA32" s="606">
        <v>1.25044748636801E-6</v>
      </c>
      <c r="AB32" s="606">
        <v>1.4040571132304501E-2</v>
      </c>
      <c r="AC32" s="606">
        <v>1.721634126927E-3</v>
      </c>
      <c r="AD32" s="606">
        <v>0</v>
      </c>
      <c r="AE32" s="606">
        <v>1.5762205259231499E-2</v>
      </c>
      <c r="AF32" s="606">
        <v>9.8639584047569997E-9</v>
      </c>
      <c r="AG32" s="606">
        <v>2.83461985711133E-8</v>
      </c>
      <c r="AH32" s="606">
        <v>0</v>
      </c>
      <c r="AI32" s="606">
        <v>3.8210156975870298E-8</v>
      </c>
      <c r="AJ32" s="606">
        <v>2.20698225553297E-6</v>
      </c>
      <c r="AK32" s="606">
        <v>2.7061690958608802E-7</v>
      </c>
      <c r="AL32" s="606">
        <v>0</v>
      </c>
      <c r="AM32" s="606">
        <v>2.4775991651190598E-6</v>
      </c>
      <c r="AN32" s="606">
        <v>2.12368319542072E-7</v>
      </c>
      <c r="AO32" s="606">
        <v>6.1028588209071398E-7</v>
      </c>
      <c r="AP32" s="606">
        <v>0</v>
      </c>
      <c r="AQ32" s="606">
        <v>8.2265420163278704E-7</v>
      </c>
      <c r="AR32" s="606">
        <v>0</v>
      </c>
      <c r="AS32" s="606">
        <v>0</v>
      </c>
      <c r="AT32" s="606">
        <v>0</v>
      </c>
      <c r="AU32" s="606">
        <v>0</v>
      </c>
      <c r="AV32" s="606">
        <v>8.2265420163278704E-7</v>
      </c>
      <c r="AW32" s="606">
        <v>2.4176516604848799E-7</v>
      </c>
      <c r="AX32" s="606">
        <v>6.9476402101246296E-7</v>
      </c>
      <c r="AY32" s="606">
        <v>0</v>
      </c>
      <c r="AZ32" s="606">
        <v>9.3652918706095095E-7</v>
      </c>
      <c r="BA32" s="606">
        <v>0</v>
      </c>
      <c r="BB32" s="606">
        <v>0</v>
      </c>
      <c r="BC32" s="606">
        <v>0</v>
      </c>
      <c r="BD32" s="606">
        <v>0</v>
      </c>
      <c r="BE32" s="606">
        <v>9.3652918706095095E-7</v>
      </c>
      <c r="BF32" s="606">
        <v>1.8064045755550901E-6</v>
      </c>
      <c r="BG32" s="606">
        <v>9.0174741540144797E-6</v>
      </c>
      <c r="BH32" s="606">
        <v>0</v>
      </c>
      <c r="BI32" s="606">
        <v>1.0823878729569499E-5</v>
      </c>
      <c r="BJ32" s="606">
        <v>1.3264835410277699E-7</v>
      </c>
      <c r="BK32" s="606">
        <v>1.62651455665219E-8</v>
      </c>
      <c r="BL32" s="606">
        <v>0</v>
      </c>
      <c r="BM32" s="606">
        <v>1.4891349966929901E-7</v>
      </c>
      <c r="BN32" s="608">
        <v>1.40477549913033E-3</v>
      </c>
      <c r="BO32" s="602"/>
    </row>
    <row r="33" spans="1:67">
      <c r="A33" s="607" t="s">
        <v>76</v>
      </c>
      <c r="B33" s="606">
        <v>2040</v>
      </c>
      <c r="C33" s="606" t="s">
        <v>159</v>
      </c>
      <c r="D33" s="606" t="s">
        <v>586</v>
      </c>
      <c r="E33" s="606" t="s">
        <v>586</v>
      </c>
      <c r="F33" s="606" t="s">
        <v>125</v>
      </c>
      <c r="G33" s="606">
        <v>79.678600775500598</v>
      </c>
      <c r="H33" s="606">
        <v>16856.611377295401</v>
      </c>
      <c r="I33" s="606">
        <v>1163.3075713223</v>
      </c>
      <c r="J33" s="606">
        <v>3.7898928887406799E-2</v>
      </c>
      <c r="K33" s="606">
        <v>1.0829565071902299E-2</v>
      </c>
      <c r="L33" s="606">
        <v>2.8646145485423202E-3</v>
      </c>
      <c r="M33" s="606">
        <v>5.1593108507851398E-2</v>
      </c>
      <c r="N33" s="606">
        <v>4.9548680621139599E-4</v>
      </c>
      <c r="O33" s="606">
        <v>3.7315039448711798E-6</v>
      </c>
      <c r="P33" s="606">
        <v>0</v>
      </c>
      <c r="Q33" s="606">
        <v>4.9921831015626705E-4</v>
      </c>
      <c r="R33" s="606">
        <v>1.6723110046544499E-4</v>
      </c>
      <c r="S33" s="606">
        <v>4.91659435368411E-4</v>
      </c>
      <c r="T33" s="606">
        <v>1.1581088459901199E-3</v>
      </c>
      <c r="U33" s="606">
        <v>5.1789052089813703E-4</v>
      </c>
      <c r="V33" s="606">
        <v>3.9002259949547404E-6</v>
      </c>
      <c r="W33" s="606">
        <v>0</v>
      </c>
      <c r="X33" s="606">
        <v>5.2179074689309203E-4</v>
      </c>
      <c r="Y33" s="606">
        <v>6.6892440186178299E-4</v>
      </c>
      <c r="Z33" s="606">
        <v>1.14720534919295E-3</v>
      </c>
      <c r="AA33" s="606">
        <v>2.3379204979478299E-3</v>
      </c>
      <c r="AB33" s="606">
        <v>17.613858056022998</v>
      </c>
      <c r="AC33" s="606">
        <v>1.7308820944177701</v>
      </c>
      <c r="AD33" s="606">
        <v>0</v>
      </c>
      <c r="AE33" s="606">
        <v>19.344740150440799</v>
      </c>
      <c r="AF33" s="606">
        <v>1.7187595320527599E-5</v>
      </c>
      <c r="AG33" s="606">
        <v>4.2566466697664501E-5</v>
      </c>
      <c r="AH33" s="606">
        <v>0</v>
      </c>
      <c r="AI33" s="606">
        <v>5.97540620181921E-5</v>
      </c>
      <c r="AJ33" s="606">
        <v>2.7686531989912699E-3</v>
      </c>
      <c r="AK33" s="606">
        <v>2.7207056129010702E-4</v>
      </c>
      <c r="AL33" s="606">
        <v>0</v>
      </c>
      <c r="AM33" s="606">
        <v>3.0407237602813699E-3</v>
      </c>
      <c r="AN33" s="606">
        <v>3.7004421403777799E-4</v>
      </c>
      <c r="AO33" s="606">
        <v>9.16444355347961E-4</v>
      </c>
      <c r="AP33" s="606">
        <v>0</v>
      </c>
      <c r="AQ33" s="606">
        <v>1.2864885693857401E-3</v>
      </c>
      <c r="AR33" s="606">
        <v>0</v>
      </c>
      <c r="AS33" s="606">
        <v>0</v>
      </c>
      <c r="AT33" s="606">
        <v>0</v>
      </c>
      <c r="AU33" s="606">
        <v>0</v>
      </c>
      <c r="AV33" s="606">
        <v>1.2864885693857401E-3</v>
      </c>
      <c r="AW33" s="606">
        <v>4.2126716943956401E-4</v>
      </c>
      <c r="AX33" s="606">
        <v>1.0433021376383099E-3</v>
      </c>
      <c r="AY33" s="606">
        <v>0</v>
      </c>
      <c r="AZ33" s="606">
        <v>1.4645693070778701E-3</v>
      </c>
      <c r="BA33" s="606">
        <v>0</v>
      </c>
      <c r="BB33" s="606">
        <v>0</v>
      </c>
      <c r="BC33" s="606">
        <v>0</v>
      </c>
      <c r="BD33" s="606">
        <v>0</v>
      </c>
      <c r="BE33" s="606">
        <v>1.4645693070778701E-3</v>
      </c>
      <c r="BF33" s="606">
        <v>3.4387580371835502E-3</v>
      </c>
      <c r="BG33" s="606">
        <v>1.35412165518754E-2</v>
      </c>
      <c r="BH33" s="606">
        <v>0</v>
      </c>
      <c r="BI33" s="606">
        <v>1.6979974589059001E-2</v>
      </c>
      <c r="BJ33" s="606">
        <v>1.66406997159517E-4</v>
      </c>
      <c r="BK33" s="606">
        <v>1.63525157778108E-5</v>
      </c>
      <c r="BL33" s="606">
        <v>0</v>
      </c>
      <c r="BM33" s="606">
        <v>1.82759512937328E-4</v>
      </c>
      <c r="BN33" s="608">
        <v>1.7240618652942801</v>
      </c>
      <c r="BO33" s="602"/>
    </row>
    <row r="34" spans="1:67">
      <c r="A34" s="607" t="s">
        <v>76</v>
      </c>
      <c r="B34" s="606">
        <v>2040</v>
      </c>
      <c r="C34" s="606" t="s">
        <v>158</v>
      </c>
      <c r="D34" s="606" t="s">
        <v>586</v>
      </c>
      <c r="E34" s="606" t="s">
        <v>586</v>
      </c>
      <c r="F34" s="606" t="s">
        <v>125</v>
      </c>
      <c r="G34" s="606">
        <v>9.1109089450989398</v>
      </c>
      <c r="H34" s="606">
        <v>1627.07983976273</v>
      </c>
      <c r="I34" s="606">
        <v>41.190065109467</v>
      </c>
      <c r="J34" s="606">
        <v>7.1382125663789799E-3</v>
      </c>
      <c r="K34" s="606">
        <v>1.89221023671029E-4</v>
      </c>
      <c r="L34" s="606">
        <v>2.07338579310626E-4</v>
      </c>
      <c r="M34" s="606">
        <v>7.5347721693606396E-3</v>
      </c>
      <c r="N34" s="606">
        <v>3.58039344141046E-5</v>
      </c>
      <c r="O34" s="606">
        <v>6.5199201592403595E-8</v>
      </c>
      <c r="P34" s="606">
        <v>0</v>
      </c>
      <c r="Q34" s="606">
        <v>3.5869133615697003E-5</v>
      </c>
      <c r="R34" s="606">
        <v>1.61419366003275E-5</v>
      </c>
      <c r="S34" s="606">
        <v>4.7457293604962801E-5</v>
      </c>
      <c r="T34" s="606">
        <v>9.9468363820987297E-5</v>
      </c>
      <c r="U34" s="606">
        <v>3.7422829450704499E-5</v>
      </c>
      <c r="V34" s="606">
        <v>6.8147220171239898E-8</v>
      </c>
      <c r="W34" s="606">
        <v>0</v>
      </c>
      <c r="X34" s="606">
        <v>3.74909766708757E-5</v>
      </c>
      <c r="Y34" s="606">
        <v>6.4567746401310002E-5</v>
      </c>
      <c r="Z34" s="606">
        <v>1.10733685078246E-4</v>
      </c>
      <c r="AA34" s="606">
        <v>2.12792408150432E-4</v>
      </c>
      <c r="AB34" s="606">
        <v>2.3040712112255002</v>
      </c>
      <c r="AC34" s="606">
        <v>3.0106158403027699E-2</v>
      </c>
      <c r="AD34" s="606">
        <v>0</v>
      </c>
      <c r="AE34" s="606">
        <v>2.33417736962853</v>
      </c>
      <c r="AF34" s="606">
        <v>2.9407107238607901E-6</v>
      </c>
      <c r="AG34" s="606">
        <v>7.4374828066627504E-7</v>
      </c>
      <c r="AH34" s="606">
        <v>0</v>
      </c>
      <c r="AI34" s="606">
        <v>3.6844590045270599E-6</v>
      </c>
      <c r="AJ34" s="606">
        <v>3.6216790832385698E-4</v>
      </c>
      <c r="AK34" s="606">
        <v>4.7322688480152602E-6</v>
      </c>
      <c r="AL34" s="606">
        <v>0</v>
      </c>
      <c r="AM34" s="606">
        <v>3.6690017717187198E-4</v>
      </c>
      <c r="AN34" s="606">
        <v>6.3312695477759699E-5</v>
      </c>
      <c r="AO34" s="606">
        <v>1.6012696530758901E-5</v>
      </c>
      <c r="AP34" s="606">
        <v>0</v>
      </c>
      <c r="AQ34" s="606">
        <v>7.9325392008518694E-5</v>
      </c>
      <c r="AR34" s="606">
        <v>0</v>
      </c>
      <c r="AS34" s="606">
        <v>0</v>
      </c>
      <c r="AT34" s="606">
        <v>0</v>
      </c>
      <c r="AU34" s="606">
        <v>0</v>
      </c>
      <c r="AV34" s="606">
        <v>7.9325392008518694E-5</v>
      </c>
      <c r="AW34" s="606">
        <v>7.2076684357459095E-5</v>
      </c>
      <c r="AX34" s="606">
        <v>1.8229236093173601E-5</v>
      </c>
      <c r="AY34" s="606">
        <v>0</v>
      </c>
      <c r="AZ34" s="606">
        <v>9.0305920450632797E-5</v>
      </c>
      <c r="BA34" s="606">
        <v>0</v>
      </c>
      <c r="BB34" s="606">
        <v>0</v>
      </c>
      <c r="BC34" s="606">
        <v>0</v>
      </c>
      <c r="BD34" s="606">
        <v>0</v>
      </c>
      <c r="BE34" s="606">
        <v>9.0305920450632797E-5</v>
      </c>
      <c r="BF34" s="606">
        <v>8.82108391686787E-4</v>
      </c>
      <c r="BG34" s="606">
        <v>2.3660071671252001E-4</v>
      </c>
      <c r="BH34" s="606">
        <v>0</v>
      </c>
      <c r="BI34" s="606">
        <v>1.1187091083993E-3</v>
      </c>
      <c r="BJ34" s="606">
        <v>2.1767722340116199E-5</v>
      </c>
      <c r="BK34" s="606">
        <v>2.84428056586018E-7</v>
      </c>
      <c r="BL34" s="606">
        <v>0</v>
      </c>
      <c r="BM34" s="606">
        <v>2.2052150396702201E-5</v>
      </c>
      <c r="BN34" s="608">
        <v>0.20802896076728999</v>
      </c>
      <c r="BO34" s="602"/>
    </row>
    <row r="35" spans="1:67">
      <c r="A35" s="607" t="s">
        <v>76</v>
      </c>
      <c r="B35" s="606">
        <v>2040</v>
      </c>
      <c r="C35" s="606" t="s">
        <v>157</v>
      </c>
      <c r="D35" s="606" t="s">
        <v>586</v>
      </c>
      <c r="E35" s="606" t="s">
        <v>586</v>
      </c>
      <c r="F35" s="606" t="s">
        <v>125</v>
      </c>
      <c r="G35" s="606">
        <v>123.721464133431</v>
      </c>
      <c r="H35" s="606">
        <v>20597.7149675287</v>
      </c>
      <c r="I35" s="606">
        <v>1806.3333763481</v>
      </c>
      <c r="J35" s="606">
        <v>4.2140335593340197E-2</v>
      </c>
      <c r="K35" s="606">
        <v>2.0870521600414901E-2</v>
      </c>
      <c r="L35" s="606">
        <v>4.4480431995028297E-3</v>
      </c>
      <c r="M35" s="606">
        <v>6.7458900393257998E-2</v>
      </c>
      <c r="N35" s="606">
        <v>5.30166741497415E-4</v>
      </c>
      <c r="O35" s="606">
        <v>7.1912799051852897E-6</v>
      </c>
      <c r="P35" s="606">
        <v>0</v>
      </c>
      <c r="Q35" s="606">
        <v>5.373580214026E-4</v>
      </c>
      <c r="R35" s="606">
        <v>2.04345847691131E-4</v>
      </c>
      <c r="S35" s="606">
        <v>6.0077679221192705E-4</v>
      </c>
      <c r="T35" s="606">
        <v>1.34248066130566E-3</v>
      </c>
      <c r="U35" s="606">
        <v>5.5413852896785598E-4</v>
      </c>
      <c r="V35" s="606">
        <v>7.5164376716657998E-6</v>
      </c>
      <c r="W35" s="606">
        <v>0</v>
      </c>
      <c r="X35" s="606">
        <v>5.61654966639521E-4</v>
      </c>
      <c r="Y35" s="606">
        <v>8.1738339076452705E-4</v>
      </c>
      <c r="Z35" s="606">
        <v>1.4018125151611599E-3</v>
      </c>
      <c r="AA35" s="606">
        <v>2.7808508725652098E-3</v>
      </c>
      <c r="AB35" s="606">
        <v>21.494822303579401</v>
      </c>
      <c r="AC35" s="606">
        <v>3.3343511281012499</v>
      </c>
      <c r="AD35" s="606">
        <v>0</v>
      </c>
      <c r="AE35" s="606">
        <v>24.829173431680701</v>
      </c>
      <c r="AF35" s="606">
        <v>1.97052162331424E-5</v>
      </c>
      <c r="AG35" s="606">
        <v>8.2033244804253101E-5</v>
      </c>
      <c r="AH35" s="606">
        <v>0</v>
      </c>
      <c r="AI35" s="606">
        <v>1.01738461037395E-4</v>
      </c>
      <c r="AJ35" s="606">
        <v>3.3786867330978599E-3</v>
      </c>
      <c r="AK35" s="606">
        <v>5.2411356376412402E-4</v>
      </c>
      <c r="AL35" s="606">
        <v>0</v>
      </c>
      <c r="AM35" s="606">
        <v>3.90280029686199E-3</v>
      </c>
      <c r="AN35" s="606">
        <v>4.2424790189985801E-4</v>
      </c>
      <c r="AO35" s="606">
        <v>1.7661532653322101E-3</v>
      </c>
      <c r="AP35" s="606">
        <v>0</v>
      </c>
      <c r="AQ35" s="606">
        <v>2.19040116723207E-3</v>
      </c>
      <c r="AR35" s="606">
        <v>0</v>
      </c>
      <c r="AS35" s="606">
        <v>0</v>
      </c>
      <c r="AT35" s="606">
        <v>0</v>
      </c>
      <c r="AU35" s="606">
        <v>0</v>
      </c>
      <c r="AV35" s="606">
        <v>2.19040116723207E-3</v>
      </c>
      <c r="AW35" s="606">
        <v>4.8297394201597102E-4</v>
      </c>
      <c r="AX35" s="606">
        <v>2.0106310507181399E-3</v>
      </c>
      <c r="AY35" s="606">
        <v>0</v>
      </c>
      <c r="AZ35" s="606">
        <v>2.4936049927341102E-3</v>
      </c>
      <c r="BA35" s="606">
        <v>0</v>
      </c>
      <c r="BB35" s="606">
        <v>0</v>
      </c>
      <c r="BC35" s="606">
        <v>0</v>
      </c>
      <c r="BD35" s="606">
        <v>0</v>
      </c>
      <c r="BE35" s="606">
        <v>2.4936049927341102E-3</v>
      </c>
      <c r="BF35" s="606">
        <v>3.9424639337015399E-3</v>
      </c>
      <c r="BG35" s="606">
        <v>2.6096362196027598E-2</v>
      </c>
      <c r="BH35" s="606">
        <v>0</v>
      </c>
      <c r="BI35" s="606">
        <v>3.0038826129729201E-2</v>
      </c>
      <c r="BJ35" s="606">
        <v>2.0307242301143401E-4</v>
      </c>
      <c r="BK35" s="606">
        <v>3.1501296135007997E-5</v>
      </c>
      <c r="BL35" s="606">
        <v>0</v>
      </c>
      <c r="BM35" s="606">
        <v>2.3457371914644199E-4</v>
      </c>
      <c r="BN35" s="608">
        <v>2.2128511795679602</v>
      </c>
      <c r="BO35" s="602"/>
    </row>
    <row r="36" spans="1:67">
      <c r="A36" s="607" t="s">
        <v>76</v>
      </c>
      <c r="B36" s="606">
        <v>2040</v>
      </c>
      <c r="C36" s="606" t="s">
        <v>156</v>
      </c>
      <c r="D36" s="606" t="s">
        <v>586</v>
      </c>
      <c r="E36" s="606" t="s">
        <v>586</v>
      </c>
      <c r="F36" s="606" t="s">
        <v>125</v>
      </c>
      <c r="G36" s="606">
        <v>31.657033987273199</v>
      </c>
      <c r="H36" s="606">
        <v>6622.08628262809</v>
      </c>
      <c r="I36" s="606">
        <v>462.19269621418903</v>
      </c>
      <c r="J36" s="606">
        <v>1.49163975028611E-2</v>
      </c>
      <c r="K36" s="606">
        <v>5.34021171074973E-3</v>
      </c>
      <c r="L36" s="606">
        <v>1.1381246767072899E-3</v>
      </c>
      <c r="M36" s="606">
        <v>2.13947338903181E-2</v>
      </c>
      <c r="N36" s="606">
        <v>1.9512573082161201E-4</v>
      </c>
      <c r="O36" s="606">
        <v>1.84005737375467E-6</v>
      </c>
      <c r="P36" s="606">
        <v>0</v>
      </c>
      <c r="Q36" s="606">
        <v>1.96965788195367E-4</v>
      </c>
      <c r="R36" s="606">
        <v>6.5696405501323494E-5</v>
      </c>
      <c r="S36" s="606">
        <v>1.9314743217389101E-4</v>
      </c>
      <c r="T36" s="606">
        <v>4.5580962587058198E-4</v>
      </c>
      <c r="U36" s="606">
        <v>2.0394845051175899E-4</v>
      </c>
      <c r="V36" s="606">
        <v>1.9232566030621901E-6</v>
      </c>
      <c r="W36" s="606">
        <v>0</v>
      </c>
      <c r="X36" s="606">
        <v>2.0587170711482101E-4</v>
      </c>
      <c r="Y36" s="606">
        <v>2.6278562200529398E-4</v>
      </c>
      <c r="Z36" s="606">
        <v>4.5067734173907901E-4</v>
      </c>
      <c r="AA36" s="606">
        <v>9.1933467085919497E-4</v>
      </c>
      <c r="AB36" s="606">
        <v>6.9249115649589701</v>
      </c>
      <c r="AC36" s="606">
        <v>0.85445790420401402</v>
      </c>
      <c r="AD36" s="606">
        <v>0</v>
      </c>
      <c r="AE36" s="606">
        <v>7.7793694691629796</v>
      </c>
      <c r="AF36" s="606">
        <v>6.7603065931861499E-6</v>
      </c>
      <c r="AG36" s="606">
        <v>2.0990126790399002E-5</v>
      </c>
      <c r="AH36" s="606">
        <v>0</v>
      </c>
      <c r="AI36" s="606">
        <v>2.7750433383585201E-5</v>
      </c>
      <c r="AJ36" s="606">
        <v>1.08849966294006E-3</v>
      </c>
      <c r="AK36" s="606">
        <v>1.3430888351395899E-4</v>
      </c>
      <c r="AL36" s="606">
        <v>0</v>
      </c>
      <c r="AM36" s="606">
        <v>1.22280854645402E-3</v>
      </c>
      <c r="AN36" s="606">
        <v>1.4554754712791201E-4</v>
      </c>
      <c r="AO36" s="606">
        <v>4.5191167384711899E-4</v>
      </c>
      <c r="AP36" s="606">
        <v>0</v>
      </c>
      <c r="AQ36" s="606">
        <v>5.9745922097503097E-4</v>
      </c>
      <c r="AR36" s="606">
        <v>0</v>
      </c>
      <c r="AS36" s="606">
        <v>0</v>
      </c>
      <c r="AT36" s="606">
        <v>0</v>
      </c>
      <c r="AU36" s="606">
        <v>0</v>
      </c>
      <c r="AV36" s="606">
        <v>5.9745922097503097E-4</v>
      </c>
      <c r="AW36" s="606">
        <v>1.6569480313827499E-4</v>
      </c>
      <c r="AX36" s="606">
        <v>5.1446704057595601E-4</v>
      </c>
      <c r="AY36" s="606">
        <v>0</v>
      </c>
      <c r="AZ36" s="606">
        <v>6.8016184371423095E-4</v>
      </c>
      <c r="BA36" s="606">
        <v>0</v>
      </c>
      <c r="BB36" s="606">
        <v>0</v>
      </c>
      <c r="BC36" s="606">
        <v>0</v>
      </c>
      <c r="BD36" s="606">
        <v>0</v>
      </c>
      <c r="BE36" s="606">
        <v>6.8016184371423095E-4</v>
      </c>
      <c r="BF36" s="606">
        <v>1.35254863181772E-3</v>
      </c>
      <c r="BG36" s="606">
        <v>6.6773654092297701E-3</v>
      </c>
      <c r="BH36" s="606">
        <v>0</v>
      </c>
      <c r="BI36" s="606">
        <v>8.0299140410474892E-3</v>
      </c>
      <c r="BJ36" s="606">
        <v>6.5423130778892002E-5</v>
      </c>
      <c r="BK36" s="606">
        <v>8.0724945997383897E-6</v>
      </c>
      <c r="BL36" s="606">
        <v>0</v>
      </c>
      <c r="BM36" s="606">
        <v>7.3495625378630405E-5</v>
      </c>
      <c r="BN36" s="608">
        <v>0.69332098200930903</v>
      </c>
      <c r="BO36" s="602"/>
    </row>
    <row r="37" spans="1:67">
      <c r="A37" s="607" t="s">
        <v>76</v>
      </c>
      <c r="B37" s="606">
        <v>2040</v>
      </c>
      <c r="C37" s="606" t="s">
        <v>155</v>
      </c>
      <c r="D37" s="606" t="s">
        <v>586</v>
      </c>
      <c r="E37" s="606" t="s">
        <v>586</v>
      </c>
      <c r="F37" s="606" t="s">
        <v>125</v>
      </c>
      <c r="G37" s="606">
        <v>11.151040341654101</v>
      </c>
      <c r="H37" s="606">
        <v>1896.2486912521999</v>
      </c>
      <c r="I37" s="606">
        <v>84.747906596571696</v>
      </c>
      <c r="J37" s="606">
        <v>8.2123388468835195E-3</v>
      </c>
      <c r="K37" s="606">
        <v>2.3850461535879799E-4</v>
      </c>
      <c r="L37" s="606">
        <v>1.6688025078060101E-4</v>
      </c>
      <c r="M37" s="606">
        <v>8.6177237130229192E-3</v>
      </c>
      <c r="N37" s="606">
        <v>3.0933808071971502E-5</v>
      </c>
      <c r="O37" s="606">
        <v>8.2180669968956303E-8</v>
      </c>
      <c r="P37" s="606">
        <v>0</v>
      </c>
      <c r="Q37" s="606">
        <v>3.1015988741940502E-5</v>
      </c>
      <c r="R37" s="606">
        <v>1.88123074262358E-5</v>
      </c>
      <c r="S37" s="606">
        <v>5.5308183833133503E-5</v>
      </c>
      <c r="T37" s="606">
        <v>1.05136480001309E-4</v>
      </c>
      <c r="U37" s="606">
        <v>3.23324976062457E-5</v>
      </c>
      <c r="V37" s="606">
        <v>8.5896515193630401E-8</v>
      </c>
      <c r="W37" s="606">
        <v>0</v>
      </c>
      <c r="X37" s="606">
        <v>3.2418394121439301E-5</v>
      </c>
      <c r="Y37" s="606">
        <v>7.5249229704943499E-5</v>
      </c>
      <c r="Z37" s="606">
        <v>1.2905242894397799E-4</v>
      </c>
      <c r="AA37" s="606">
        <v>2.3672005277036099E-4</v>
      </c>
      <c r="AB37" s="606">
        <v>2.4158173577832098</v>
      </c>
      <c r="AC37" s="606">
        <v>3.7521199628462301E-2</v>
      </c>
      <c r="AD37" s="606">
        <v>0</v>
      </c>
      <c r="AE37" s="606">
        <v>2.4533385574116702</v>
      </c>
      <c r="AF37" s="606">
        <v>2.7972357393566701E-6</v>
      </c>
      <c r="AG37" s="606">
        <v>9.3746135689697001E-7</v>
      </c>
      <c r="AH37" s="606">
        <v>0</v>
      </c>
      <c r="AI37" s="606">
        <v>3.7346970962536398E-6</v>
      </c>
      <c r="AJ37" s="606">
        <v>3.7973284640601302E-4</v>
      </c>
      <c r="AK37" s="606">
        <v>5.8978100681247004E-6</v>
      </c>
      <c r="AL37" s="606">
        <v>0</v>
      </c>
      <c r="AM37" s="606">
        <v>3.85630656474138E-4</v>
      </c>
      <c r="AN37" s="606">
        <v>6.0223718405353302E-5</v>
      </c>
      <c r="AO37" s="606">
        <v>2.0183285941658998E-5</v>
      </c>
      <c r="AP37" s="606">
        <v>0</v>
      </c>
      <c r="AQ37" s="606">
        <v>8.0407004347012297E-5</v>
      </c>
      <c r="AR37" s="606">
        <v>0</v>
      </c>
      <c r="AS37" s="606">
        <v>0</v>
      </c>
      <c r="AT37" s="606">
        <v>0</v>
      </c>
      <c r="AU37" s="606">
        <v>0</v>
      </c>
      <c r="AV37" s="606">
        <v>8.0407004347012297E-5</v>
      </c>
      <c r="AW37" s="606">
        <v>6.8560119097439898E-5</v>
      </c>
      <c r="AX37" s="606">
        <v>2.2977134666842799E-5</v>
      </c>
      <c r="AY37" s="606">
        <v>0</v>
      </c>
      <c r="AZ37" s="606">
        <v>9.1537253764282795E-5</v>
      </c>
      <c r="BA37" s="606">
        <v>0</v>
      </c>
      <c r="BB37" s="606">
        <v>0</v>
      </c>
      <c r="BC37" s="606">
        <v>0</v>
      </c>
      <c r="BD37" s="606">
        <v>0</v>
      </c>
      <c r="BE37" s="606">
        <v>9.1537253764282795E-5</v>
      </c>
      <c r="BF37" s="606">
        <v>8.5972200843341504E-4</v>
      </c>
      <c r="BG37" s="606">
        <v>2.9822459385508201E-4</v>
      </c>
      <c r="BH37" s="606">
        <v>0</v>
      </c>
      <c r="BI37" s="606">
        <v>1.1579466022884901E-3</v>
      </c>
      <c r="BJ37" s="606">
        <v>2.28234445239597E-5</v>
      </c>
      <c r="BK37" s="606">
        <v>3.5448168936845401E-7</v>
      </c>
      <c r="BL37" s="606">
        <v>0</v>
      </c>
      <c r="BM37" s="606">
        <v>2.31779262133282E-5</v>
      </c>
      <c r="BN37" s="608">
        <v>0.218648966933431</v>
      </c>
      <c r="BO37" s="602"/>
    </row>
    <row r="38" spans="1:67">
      <c r="A38" s="607" t="s">
        <v>76</v>
      </c>
      <c r="B38" s="606">
        <v>2040</v>
      </c>
      <c r="C38" s="606" t="s">
        <v>154</v>
      </c>
      <c r="D38" s="606" t="s">
        <v>586</v>
      </c>
      <c r="E38" s="606" t="s">
        <v>586</v>
      </c>
      <c r="F38" s="606" t="s">
        <v>125</v>
      </c>
      <c r="G38" s="606">
        <v>98.403801186654704</v>
      </c>
      <c r="H38" s="606">
        <v>17034.938947901599</v>
      </c>
      <c r="I38" s="606">
        <v>747.86888901857606</v>
      </c>
      <c r="J38" s="606">
        <v>7.4531257131016201E-2</v>
      </c>
      <c r="K38" s="606">
        <v>3.3605622653074801E-3</v>
      </c>
      <c r="L38" s="606">
        <v>1.4726564084295399E-3</v>
      </c>
      <c r="M38" s="606">
        <v>7.9364475804753198E-2</v>
      </c>
      <c r="N38" s="606">
        <v>2.81698979390001E-4</v>
      </c>
      <c r="O38" s="606">
        <v>1.15793674692582E-6</v>
      </c>
      <c r="P38" s="606">
        <v>0</v>
      </c>
      <c r="Q38" s="606">
        <v>2.8285691613692701E-4</v>
      </c>
      <c r="R38" s="606">
        <v>1.69000252948605E-4</v>
      </c>
      <c r="S38" s="606">
        <v>4.9686074366890099E-4</v>
      </c>
      <c r="T38" s="606">
        <v>9.4871791275443396E-4</v>
      </c>
      <c r="U38" s="606">
        <v>2.9443615721731E-4</v>
      </c>
      <c r="V38" s="606">
        <v>1.2102935083535899E-6</v>
      </c>
      <c r="W38" s="606">
        <v>0</v>
      </c>
      <c r="X38" s="606">
        <v>2.95646450725663E-4</v>
      </c>
      <c r="Y38" s="606">
        <v>6.7600101179442196E-4</v>
      </c>
      <c r="Z38" s="606">
        <v>1.1593417352274301E-3</v>
      </c>
      <c r="AA38" s="606">
        <v>2.13098919774752E-3</v>
      </c>
      <c r="AB38" s="606">
        <v>21.7458351516417</v>
      </c>
      <c r="AC38" s="606">
        <v>0.52864325366102904</v>
      </c>
      <c r="AD38" s="606">
        <v>0</v>
      </c>
      <c r="AE38" s="606">
        <v>22.274478405302698</v>
      </c>
      <c r="AF38" s="606">
        <v>2.5310305199871001E-5</v>
      </c>
      <c r="AG38" s="606">
        <v>1.3208957220524E-5</v>
      </c>
      <c r="AH38" s="606">
        <v>0</v>
      </c>
      <c r="AI38" s="606">
        <v>3.8519262420395101E-5</v>
      </c>
      <c r="AJ38" s="606">
        <v>3.4181424572535201E-3</v>
      </c>
      <c r="AK38" s="606">
        <v>8.3095357684756301E-5</v>
      </c>
      <c r="AL38" s="606">
        <v>0</v>
      </c>
      <c r="AM38" s="606">
        <v>3.50123781493828E-3</v>
      </c>
      <c r="AN38" s="606">
        <v>5.4492393031598798E-4</v>
      </c>
      <c r="AO38" s="606">
        <v>2.8438522677396902E-4</v>
      </c>
      <c r="AP38" s="606">
        <v>0</v>
      </c>
      <c r="AQ38" s="606">
        <v>8.2930915708995798E-4</v>
      </c>
      <c r="AR38" s="606">
        <v>0</v>
      </c>
      <c r="AS38" s="606">
        <v>0</v>
      </c>
      <c r="AT38" s="606">
        <v>0</v>
      </c>
      <c r="AU38" s="606">
        <v>0</v>
      </c>
      <c r="AV38" s="606">
        <v>8.2930915708995798E-4</v>
      </c>
      <c r="AW38" s="606">
        <v>6.2035441435293699E-4</v>
      </c>
      <c r="AX38" s="606">
        <v>3.2375093291221702E-4</v>
      </c>
      <c r="AY38" s="606">
        <v>0</v>
      </c>
      <c r="AZ38" s="606">
        <v>9.4410534726515499E-4</v>
      </c>
      <c r="BA38" s="606">
        <v>0</v>
      </c>
      <c r="BB38" s="606">
        <v>0</v>
      </c>
      <c r="BC38" s="606">
        <v>0</v>
      </c>
      <c r="BD38" s="606">
        <v>0</v>
      </c>
      <c r="BE38" s="606">
        <v>9.4410534726515499E-4</v>
      </c>
      <c r="BF38" s="606">
        <v>7.7790462859262501E-3</v>
      </c>
      <c r="BG38" s="606">
        <v>4.2020248337264199E-3</v>
      </c>
      <c r="BH38" s="606">
        <v>0</v>
      </c>
      <c r="BI38" s="606">
        <v>1.19810711196526E-2</v>
      </c>
      <c r="BJ38" s="606">
        <v>2.0544386793631299E-4</v>
      </c>
      <c r="BK38" s="606">
        <v>4.9943593351649397E-6</v>
      </c>
      <c r="BL38" s="606">
        <v>0</v>
      </c>
      <c r="BM38" s="606">
        <v>2.10438227271478E-4</v>
      </c>
      <c r="BN38" s="608">
        <v>1.9851690169654901</v>
      </c>
      <c r="BO38" s="602"/>
    </row>
    <row r="39" spans="1:67">
      <c r="A39" s="607" t="s">
        <v>76</v>
      </c>
      <c r="B39" s="606">
        <v>2040</v>
      </c>
      <c r="C39" s="606" t="s">
        <v>153</v>
      </c>
      <c r="D39" s="606" t="s">
        <v>586</v>
      </c>
      <c r="E39" s="606" t="s">
        <v>586</v>
      </c>
      <c r="F39" s="606" t="s">
        <v>125</v>
      </c>
      <c r="G39" s="606">
        <v>224.83407372599899</v>
      </c>
      <c r="H39" s="606">
        <v>4556.7653556577998</v>
      </c>
      <c r="I39" s="606">
        <v>681.99668962020098</v>
      </c>
      <c r="J39" s="606">
        <v>1.9560145427883702E-2</v>
      </c>
      <c r="K39" s="606">
        <v>4.9018555069507202E-3</v>
      </c>
      <c r="L39" s="606">
        <v>3.45528528054318E-3</v>
      </c>
      <c r="M39" s="606">
        <v>2.7917286215377601E-2</v>
      </c>
      <c r="N39" s="606">
        <v>7.3145960156905201E-5</v>
      </c>
      <c r="O39" s="606">
        <v>3.4290257371892701E-6</v>
      </c>
      <c r="P39" s="606">
        <v>0</v>
      </c>
      <c r="Q39" s="606">
        <v>7.6574985894094501E-5</v>
      </c>
      <c r="R39" s="606">
        <v>4.52067659349298E-5</v>
      </c>
      <c r="S39" s="606">
        <v>1.3290789184869299E-4</v>
      </c>
      <c r="T39" s="606">
        <v>2.5468964367771801E-4</v>
      </c>
      <c r="U39" s="606">
        <v>7.6453295894809504E-5</v>
      </c>
      <c r="V39" s="606">
        <v>3.5840710649486199E-6</v>
      </c>
      <c r="W39" s="606">
        <v>0</v>
      </c>
      <c r="X39" s="606">
        <v>8.0037366959758105E-5</v>
      </c>
      <c r="Y39" s="606">
        <v>1.8082706373971901E-4</v>
      </c>
      <c r="Z39" s="606">
        <v>3.1011841431361799E-4</v>
      </c>
      <c r="AA39" s="606">
        <v>5.70982845013096E-4</v>
      </c>
      <c r="AB39" s="606">
        <v>6.8237404454632502</v>
      </c>
      <c r="AC39" s="606">
        <v>0.650878054794502</v>
      </c>
      <c r="AD39" s="606">
        <v>0</v>
      </c>
      <c r="AE39" s="606">
        <v>7.4746185002577503</v>
      </c>
      <c r="AF39" s="606">
        <v>1.1849643411296201E-5</v>
      </c>
      <c r="AG39" s="606">
        <v>1.3237945162171101E-5</v>
      </c>
      <c r="AH39" s="606">
        <v>0</v>
      </c>
      <c r="AI39" s="606">
        <v>2.5087588573467401E-5</v>
      </c>
      <c r="AJ39" s="606">
        <v>1.0725969718461299E-3</v>
      </c>
      <c r="AK39" s="606">
        <v>1.02308966203108E-4</v>
      </c>
      <c r="AL39" s="606">
        <v>0</v>
      </c>
      <c r="AM39" s="606">
        <v>1.17490593804924E-3</v>
      </c>
      <c r="AN39" s="606">
        <v>2.5511957321476298E-4</v>
      </c>
      <c r="AO39" s="606">
        <v>2.8500932920850602E-4</v>
      </c>
      <c r="AP39" s="606">
        <v>0</v>
      </c>
      <c r="AQ39" s="606">
        <v>5.4012890242326997E-4</v>
      </c>
      <c r="AR39" s="606">
        <v>0</v>
      </c>
      <c r="AS39" s="606">
        <v>0</v>
      </c>
      <c r="AT39" s="606">
        <v>0</v>
      </c>
      <c r="AU39" s="606">
        <v>0</v>
      </c>
      <c r="AV39" s="606">
        <v>5.4012890242326997E-4</v>
      </c>
      <c r="AW39" s="606">
        <v>2.90434214074325E-4</v>
      </c>
      <c r="AX39" s="606">
        <v>3.2446142602645501E-4</v>
      </c>
      <c r="AY39" s="606">
        <v>0</v>
      </c>
      <c r="AZ39" s="606">
        <v>6.1489564010077996E-4</v>
      </c>
      <c r="BA39" s="606">
        <v>0</v>
      </c>
      <c r="BB39" s="606">
        <v>0</v>
      </c>
      <c r="BC39" s="606">
        <v>0</v>
      </c>
      <c r="BD39" s="606">
        <v>0</v>
      </c>
      <c r="BE39" s="606">
        <v>6.1489564010077996E-4</v>
      </c>
      <c r="BF39" s="606">
        <v>1.5071086764158999E-3</v>
      </c>
      <c r="BG39" s="606">
        <v>3.9404020810703596E-3</v>
      </c>
      <c r="BH39" s="606">
        <v>0</v>
      </c>
      <c r="BI39" s="606">
        <v>5.4475107574862699E-3</v>
      </c>
      <c r="BJ39" s="606">
        <v>6.4467316207149594E-5</v>
      </c>
      <c r="BK39" s="606">
        <v>6.1491731266872601E-6</v>
      </c>
      <c r="BL39" s="606">
        <v>0</v>
      </c>
      <c r="BM39" s="606">
        <v>7.06164893338368E-5</v>
      </c>
      <c r="BN39" s="608">
        <v>0.66616065213074904</v>
      </c>
      <c r="BO39" s="602"/>
    </row>
    <row r="40" spans="1:67">
      <c r="A40" s="607" t="s">
        <v>76</v>
      </c>
      <c r="B40" s="606">
        <v>2040</v>
      </c>
      <c r="C40" s="606" t="s">
        <v>152</v>
      </c>
      <c r="D40" s="606" t="s">
        <v>586</v>
      </c>
      <c r="E40" s="606" t="s">
        <v>586</v>
      </c>
      <c r="F40" s="606" t="s">
        <v>125</v>
      </c>
      <c r="G40" s="606">
        <v>173.313170157343</v>
      </c>
      <c r="H40" s="606">
        <v>13216.2798274625</v>
      </c>
      <c r="I40" s="606">
        <v>2000.00995465916</v>
      </c>
      <c r="J40" s="606">
        <v>3.4197971734148E-2</v>
      </c>
      <c r="K40" s="606">
        <v>4.93527572734622E-3</v>
      </c>
      <c r="L40" s="606">
        <v>7.9805159318192907E-3</v>
      </c>
      <c r="M40" s="606">
        <v>4.7113763393313503E-2</v>
      </c>
      <c r="N40" s="606">
        <v>2.0563780006609901E-4</v>
      </c>
      <c r="O40" s="606">
        <v>1.7005300511467799E-6</v>
      </c>
      <c r="P40" s="606">
        <v>0</v>
      </c>
      <c r="Q40" s="606">
        <v>2.0733833011724601E-4</v>
      </c>
      <c r="R40" s="606">
        <v>1.3111609267938399E-4</v>
      </c>
      <c r="S40" s="606">
        <v>3.8548131247738898E-4</v>
      </c>
      <c r="T40" s="606">
        <v>7.2393573527402004E-4</v>
      </c>
      <c r="U40" s="606">
        <v>2.1493582888086499E-4</v>
      </c>
      <c r="V40" s="606">
        <v>1.7774204740692899E-6</v>
      </c>
      <c r="W40" s="606">
        <v>0</v>
      </c>
      <c r="X40" s="606">
        <v>2.16713249354934E-4</v>
      </c>
      <c r="Y40" s="606">
        <v>5.2446437071753695E-4</v>
      </c>
      <c r="Z40" s="606">
        <v>8.9945639578057496E-4</v>
      </c>
      <c r="AA40" s="606">
        <v>1.64063401585304E-3</v>
      </c>
      <c r="AB40" s="606">
        <v>18.201801931060999</v>
      </c>
      <c r="AC40" s="606">
        <v>0.89799033381385196</v>
      </c>
      <c r="AD40" s="606">
        <v>0</v>
      </c>
      <c r="AE40" s="606">
        <v>19.0997922648748</v>
      </c>
      <c r="AF40" s="606">
        <v>1.2871092979296499E-5</v>
      </c>
      <c r="AG40" s="606">
        <v>1.9398493706541201E-5</v>
      </c>
      <c r="AH40" s="606">
        <v>0</v>
      </c>
      <c r="AI40" s="606">
        <v>3.22695866858377E-5</v>
      </c>
      <c r="AJ40" s="606">
        <v>2.8610697885467001E-3</v>
      </c>
      <c r="AK40" s="606">
        <v>1.4115157522385E-4</v>
      </c>
      <c r="AL40" s="606">
        <v>0</v>
      </c>
      <c r="AM40" s="606">
        <v>3.0022213637705499E-3</v>
      </c>
      <c r="AN40" s="606">
        <v>2.77111102310079E-4</v>
      </c>
      <c r="AO40" s="606">
        <v>4.1764425001213502E-4</v>
      </c>
      <c r="AP40" s="606">
        <v>0</v>
      </c>
      <c r="AQ40" s="606">
        <v>6.9475535232221396E-4</v>
      </c>
      <c r="AR40" s="606">
        <v>0</v>
      </c>
      <c r="AS40" s="606">
        <v>0</v>
      </c>
      <c r="AT40" s="606">
        <v>0</v>
      </c>
      <c r="AU40" s="606">
        <v>0</v>
      </c>
      <c r="AV40" s="606">
        <v>6.9475535232221396E-4</v>
      </c>
      <c r="AW40" s="606">
        <v>3.1546989592580601E-4</v>
      </c>
      <c r="AX40" s="606">
        <v>4.7545618702029001E-4</v>
      </c>
      <c r="AY40" s="606">
        <v>0</v>
      </c>
      <c r="AZ40" s="606">
        <v>7.9092608294609602E-4</v>
      </c>
      <c r="BA40" s="606">
        <v>0</v>
      </c>
      <c r="BB40" s="606">
        <v>0</v>
      </c>
      <c r="BC40" s="606">
        <v>0</v>
      </c>
      <c r="BD40" s="606">
        <v>0</v>
      </c>
      <c r="BE40" s="606">
        <v>7.9092608294609602E-4</v>
      </c>
      <c r="BF40" s="606">
        <v>3.3880891395687801E-3</v>
      </c>
      <c r="BG40" s="606">
        <v>6.1710361333532898E-3</v>
      </c>
      <c r="BH40" s="606">
        <v>0</v>
      </c>
      <c r="BI40" s="606">
        <v>9.5591252729220703E-3</v>
      </c>
      <c r="BJ40" s="606">
        <v>1.7196159936150001E-4</v>
      </c>
      <c r="BK40" s="606">
        <v>8.4837674093290204E-6</v>
      </c>
      <c r="BL40" s="606">
        <v>0</v>
      </c>
      <c r="BM40" s="606">
        <v>1.8044536677082901E-4</v>
      </c>
      <c r="BN40" s="608">
        <v>1.7022313674326099</v>
      </c>
      <c r="BO40" s="602"/>
    </row>
    <row r="41" spans="1:67">
      <c r="A41" s="607" t="s">
        <v>76</v>
      </c>
      <c r="B41" s="606">
        <v>2040</v>
      </c>
      <c r="C41" s="606" t="s">
        <v>151</v>
      </c>
      <c r="D41" s="606" t="s">
        <v>586</v>
      </c>
      <c r="E41" s="606" t="s">
        <v>586</v>
      </c>
      <c r="F41" s="606" t="s">
        <v>125</v>
      </c>
      <c r="G41" s="606">
        <v>53.019599970020202</v>
      </c>
      <c r="H41" s="606">
        <v>4036.4858131819901</v>
      </c>
      <c r="I41" s="606">
        <v>239.69955006715401</v>
      </c>
      <c r="J41" s="606">
        <v>1.4570589926778199E-2</v>
      </c>
      <c r="K41" s="606">
        <v>1.10179612957404E-3</v>
      </c>
      <c r="L41" s="606">
        <v>1.2023609076775999E-3</v>
      </c>
      <c r="M41" s="606">
        <v>1.68747469640298E-2</v>
      </c>
      <c r="N41" s="606">
        <v>6.7043354018855695E-5</v>
      </c>
      <c r="O41" s="606">
        <v>3.8102963413284803E-7</v>
      </c>
      <c r="P41" s="606">
        <v>0</v>
      </c>
      <c r="Q41" s="606">
        <v>6.7424383652988498E-5</v>
      </c>
      <c r="R41" s="606">
        <v>4.0045175714307003E-5</v>
      </c>
      <c r="S41" s="606">
        <v>1.17732816600062E-4</v>
      </c>
      <c r="T41" s="606">
        <v>2.25202375967358E-4</v>
      </c>
      <c r="U41" s="606">
        <v>7.0074756987110995E-5</v>
      </c>
      <c r="V41" s="606">
        <v>3.9825810339437501E-7</v>
      </c>
      <c r="W41" s="606">
        <v>0</v>
      </c>
      <c r="X41" s="606">
        <v>7.0473015090505303E-5</v>
      </c>
      <c r="Y41" s="606">
        <v>1.6018070285722801E-4</v>
      </c>
      <c r="Z41" s="606">
        <v>2.7470990540014601E-4</v>
      </c>
      <c r="AA41" s="606">
        <v>5.0536362334788003E-4</v>
      </c>
      <c r="AB41" s="606">
        <v>6.2402572716974403</v>
      </c>
      <c r="AC41" s="606">
        <v>0.188523616909306</v>
      </c>
      <c r="AD41" s="606">
        <v>0</v>
      </c>
      <c r="AE41" s="606">
        <v>6.4287808886067497</v>
      </c>
      <c r="AF41" s="606">
        <v>6.5144650422587E-6</v>
      </c>
      <c r="AG41" s="606">
        <v>4.32524201331608E-6</v>
      </c>
      <c r="AH41" s="606">
        <v>0</v>
      </c>
      <c r="AI41" s="606">
        <v>1.08397070555747E-5</v>
      </c>
      <c r="AJ41" s="606">
        <v>9.8088154241175707E-4</v>
      </c>
      <c r="AK41" s="606">
        <v>2.9633287232201402E-5</v>
      </c>
      <c r="AL41" s="606">
        <v>0</v>
      </c>
      <c r="AM41" s="606">
        <v>1.01051482964395E-3</v>
      </c>
      <c r="AN41" s="606">
        <v>1.40254645951555E-4</v>
      </c>
      <c r="AO41" s="606">
        <v>9.3121274471081502E-5</v>
      </c>
      <c r="AP41" s="606">
        <v>0</v>
      </c>
      <c r="AQ41" s="606">
        <v>2.33375920422636E-4</v>
      </c>
      <c r="AR41" s="606">
        <v>0</v>
      </c>
      <c r="AS41" s="606">
        <v>0</v>
      </c>
      <c r="AT41" s="606">
        <v>0</v>
      </c>
      <c r="AU41" s="606">
        <v>0</v>
      </c>
      <c r="AV41" s="606">
        <v>2.33375920422636E-4</v>
      </c>
      <c r="AW41" s="606">
        <v>1.5966923805145E-4</v>
      </c>
      <c r="AX41" s="606">
        <v>1.0601148247390801E-4</v>
      </c>
      <c r="AY41" s="606">
        <v>0</v>
      </c>
      <c r="AZ41" s="606">
        <v>2.6568072052535901E-4</v>
      </c>
      <c r="BA41" s="606">
        <v>0</v>
      </c>
      <c r="BB41" s="606">
        <v>0</v>
      </c>
      <c r="BC41" s="606">
        <v>0</v>
      </c>
      <c r="BD41" s="606">
        <v>0</v>
      </c>
      <c r="BE41" s="606">
        <v>2.6568072052535901E-4</v>
      </c>
      <c r="BF41" s="606">
        <v>1.9169747419647001E-3</v>
      </c>
      <c r="BG41" s="606">
        <v>1.37572225810237E-3</v>
      </c>
      <c r="BH41" s="606">
        <v>0</v>
      </c>
      <c r="BI41" s="606">
        <v>3.2926970000670699E-3</v>
      </c>
      <c r="BJ41" s="606">
        <v>5.8954856498966997E-5</v>
      </c>
      <c r="BK41" s="606">
        <v>1.7810776539556199E-6</v>
      </c>
      <c r="BL41" s="606">
        <v>0</v>
      </c>
      <c r="BM41" s="606">
        <v>6.07359341529227E-5</v>
      </c>
      <c r="BN41" s="608">
        <v>0.57295243483159597</v>
      </c>
      <c r="BO41" s="602"/>
    </row>
    <row r="42" spans="1:67">
      <c r="A42" s="607" t="s">
        <v>76</v>
      </c>
      <c r="B42" s="606">
        <v>2040</v>
      </c>
      <c r="C42" s="606" t="s">
        <v>150</v>
      </c>
      <c r="D42" s="606" t="s">
        <v>586</v>
      </c>
      <c r="E42" s="606" t="s">
        <v>586</v>
      </c>
      <c r="F42" s="606" t="s">
        <v>125</v>
      </c>
      <c r="G42" s="606">
        <v>27.897370236705701</v>
      </c>
      <c r="H42" s="606">
        <v>1139.84134734438</v>
      </c>
      <c r="I42" s="606">
        <v>108.79974392315199</v>
      </c>
      <c r="J42" s="606">
        <v>1.1485213387704699E-2</v>
      </c>
      <c r="K42" s="606">
        <v>1.3404320451827099E-3</v>
      </c>
      <c r="L42" s="606">
        <v>6.7756237577742398E-5</v>
      </c>
      <c r="M42" s="606">
        <v>1.2893401670465199E-2</v>
      </c>
      <c r="N42" s="606">
        <v>1.21053206767345E-5</v>
      </c>
      <c r="O42" s="606">
        <v>1.04115813067516E-6</v>
      </c>
      <c r="P42" s="606">
        <v>0</v>
      </c>
      <c r="Q42" s="606">
        <v>1.31464788074097E-5</v>
      </c>
      <c r="R42" s="606">
        <v>1.13081400885331E-5</v>
      </c>
      <c r="S42" s="606">
        <v>3.3245931860287303E-5</v>
      </c>
      <c r="T42" s="606">
        <v>5.7700550756230098E-5</v>
      </c>
      <c r="U42" s="606">
        <v>1.26526695611715E-5</v>
      </c>
      <c r="V42" s="606">
        <v>1.08823468127351E-6</v>
      </c>
      <c r="W42" s="606">
        <v>0</v>
      </c>
      <c r="X42" s="606">
        <v>1.3740904242445001E-5</v>
      </c>
      <c r="Y42" s="606">
        <v>4.5232560354132402E-5</v>
      </c>
      <c r="Z42" s="606">
        <v>7.7573841007337106E-5</v>
      </c>
      <c r="AA42" s="606">
        <v>1.3654730560391399E-4</v>
      </c>
      <c r="AB42" s="606">
        <v>5.4069853212893602</v>
      </c>
      <c r="AC42" s="606">
        <v>0.14450626597029401</v>
      </c>
      <c r="AD42" s="606">
        <v>0</v>
      </c>
      <c r="AE42" s="606">
        <v>5.55149158725966</v>
      </c>
      <c r="AF42" s="606">
        <v>2.9547328651248399E-6</v>
      </c>
      <c r="AG42" s="606">
        <v>1.8560311137231899E-6</v>
      </c>
      <c r="AH42" s="606">
        <v>0</v>
      </c>
      <c r="AI42" s="606">
        <v>4.8107639788480301E-6</v>
      </c>
      <c r="AJ42" s="606">
        <v>8.4990279580274004E-4</v>
      </c>
      <c r="AK42" s="606">
        <v>2.27143726422916E-5</v>
      </c>
      <c r="AL42" s="606">
        <v>0</v>
      </c>
      <c r="AM42" s="606">
        <v>8.7261716844503202E-4</v>
      </c>
      <c r="AN42" s="606">
        <v>6.3614588333998101E-5</v>
      </c>
      <c r="AO42" s="606">
        <v>3.99598409142831E-5</v>
      </c>
      <c r="AP42" s="606">
        <v>0</v>
      </c>
      <c r="AQ42" s="606">
        <v>1.03574429248281E-4</v>
      </c>
      <c r="AR42" s="606">
        <v>0</v>
      </c>
      <c r="AS42" s="606">
        <v>0</v>
      </c>
      <c r="AT42" s="606">
        <v>0</v>
      </c>
      <c r="AU42" s="606">
        <v>0</v>
      </c>
      <c r="AV42" s="606">
        <v>1.03574429248281E-4</v>
      </c>
      <c r="AW42" s="606">
        <v>7.2420366393813294E-5</v>
      </c>
      <c r="AX42" s="606">
        <v>4.5491237086325001E-5</v>
      </c>
      <c r="AY42" s="606">
        <v>0</v>
      </c>
      <c r="AZ42" s="606">
        <v>1.17911603480138E-4</v>
      </c>
      <c r="BA42" s="606">
        <v>0</v>
      </c>
      <c r="BB42" s="606">
        <v>0</v>
      </c>
      <c r="BC42" s="606">
        <v>0</v>
      </c>
      <c r="BD42" s="606">
        <v>0</v>
      </c>
      <c r="BE42" s="606">
        <v>1.17911603480138E-4</v>
      </c>
      <c r="BF42" s="606">
        <v>1.77868101667916E-4</v>
      </c>
      <c r="BG42" s="606">
        <v>2.2123581327900799E-4</v>
      </c>
      <c r="BH42" s="606">
        <v>0</v>
      </c>
      <c r="BI42" s="606">
        <v>3.9910391494692502E-4</v>
      </c>
      <c r="BJ42" s="606">
        <v>5.1082516285731001E-5</v>
      </c>
      <c r="BK42" s="606">
        <v>1.3652235480930499E-6</v>
      </c>
      <c r="BL42" s="606">
        <v>0</v>
      </c>
      <c r="BM42" s="606">
        <v>5.2447739833824E-5</v>
      </c>
      <c r="BN42" s="608">
        <v>0.49476575372237902</v>
      </c>
      <c r="BO42" s="602"/>
    </row>
    <row r="43" spans="1:67">
      <c r="A43" s="607" t="s">
        <v>76</v>
      </c>
      <c r="B43" s="606">
        <v>2040</v>
      </c>
      <c r="C43" s="606" t="s">
        <v>149</v>
      </c>
      <c r="D43" s="606" t="s">
        <v>586</v>
      </c>
      <c r="E43" s="606" t="s">
        <v>586</v>
      </c>
      <c r="F43" s="606" t="s">
        <v>125</v>
      </c>
      <c r="G43" s="606">
        <v>253.27174973153299</v>
      </c>
      <c r="H43" s="606">
        <v>31741.615464887302</v>
      </c>
      <c r="I43" s="606">
        <v>3216.55122159046</v>
      </c>
      <c r="J43" s="606">
        <v>6.1427276304617098E-2</v>
      </c>
      <c r="K43" s="606">
        <v>6.2011276441913702E-3</v>
      </c>
      <c r="L43" s="606">
        <v>6.6389318808206498E-3</v>
      </c>
      <c r="M43" s="606">
        <v>7.4267335829629105E-2</v>
      </c>
      <c r="N43" s="606">
        <v>8.9444062436111005E-4</v>
      </c>
      <c r="O43" s="606">
        <v>2.1367000533554399E-6</v>
      </c>
      <c r="P43" s="606">
        <v>0</v>
      </c>
      <c r="Q43" s="606">
        <v>8.9657732441446596E-4</v>
      </c>
      <c r="R43" s="606">
        <v>3.1490227578561899E-4</v>
      </c>
      <c r="S43" s="606">
        <v>9.2581269080972196E-4</v>
      </c>
      <c r="T43" s="606">
        <v>2.1372922910097999E-3</v>
      </c>
      <c r="U43" s="606">
        <v>9.3488326037323205E-4</v>
      </c>
      <c r="V43" s="606">
        <v>2.2333121483021099E-6</v>
      </c>
      <c r="W43" s="606">
        <v>0</v>
      </c>
      <c r="X43" s="606">
        <v>9.3711657252153397E-4</v>
      </c>
      <c r="Y43" s="606">
        <v>1.2596091031424699E-3</v>
      </c>
      <c r="Z43" s="606">
        <v>2.16022961188935E-3</v>
      </c>
      <c r="AA43" s="606">
        <v>4.3569552875533596E-3</v>
      </c>
      <c r="AB43" s="606">
        <v>32.998868011376999</v>
      </c>
      <c r="AC43" s="606">
        <v>1.03650244504613</v>
      </c>
      <c r="AD43" s="606">
        <v>0</v>
      </c>
      <c r="AE43" s="606">
        <v>34.035370456423102</v>
      </c>
      <c r="AF43" s="606">
        <v>2.9475868564381501E-5</v>
      </c>
      <c r="AG43" s="606">
        <v>2.4374025328061701E-5</v>
      </c>
      <c r="AH43" s="606">
        <v>0</v>
      </c>
      <c r="AI43" s="606">
        <v>5.3849893892443198E-5</v>
      </c>
      <c r="AJ43" s="606">
        <v>5.1869625150946499E-3</v>
      </c>
      <c r="AK43" s="606">
        <v>1.6292375021484599E-4</v>
      </c>
      <c r="AL43" s="606">
        <v>0</v>
      </c>
      <c r="AM43" s="606">
        <v>5.3498862653094999E-3</v>
      </c>
      <c r="AN43" s="606">
        <v>6.3460736726565E-4</v>
      </c>
      <c r="AO43" s="606">
        <v>5.2476608142427604E-4</v>
      </c>
      <c r="AP43" s="606">
        <v>0</v>
      </c>
      <c r="AQ43" s="606">
        <v>1.1593734486899201E-3</v>
      </c>
      <c r="AR43" s="606">
        <v>0</v>
      </c>
      <c r="AS43" s="606">
        <v>0</v>
      </c>
      <c r="AT43" s="606">
        <v>0</v>
      </c>
      <c r="AU43" s="606">
        <v>0</v>
      </c>
      <c r="AV43" s="606">
        <v>1.1593734486899201E-3</v>
      </c>
      <c r="AW43" s="606">
        <v>7.2245218050133301E-4</v>
      </c>
      <c r="AX43" s="606">
        <v>5.9740623783115796E-4</v>
      </c>
      <c r="AY43" s="606">
        <v>0</v>
      </c>
      <c r="AZ43" s="606">
        <v>1.3198584183324901E-3</v>
      </c>
      <c r="BA43" s="606">
        <v>0</v>
      </c>
      <c r="BB43" s="606">
        <v>0</v>
      </c>
      <c r="BC43" s="606">
        <v>0</v>
      </c>
      <c r="BD43" s="606">
        <v>0</v>
      </c>
      <c r="BE43" s="606">
        <v>1.3198584183324901E-3</v>
      </c>
      <c r="BF43" s="606">
        <v>5.4919536922752102E-3</v>
      </c>
      <c r="BG43" s="606">
        <v>7.7538489993178002E-3</v>
      </c>
      <c r="BH43" s="606">
        <v>0</v>
      </c>
      <c r="BI43" s="606">
        <v>1.3245802691593001E-2</v>
      </c>
      <c r="BJ43" s="606">
        <v>3.11756942628408E-4</v>
      </c>
      <c r="BK43" s="606">
        <v>9.7923611556325492E-6</v>
      </c>
      <c r="BL43" s="606">
        <v>0</v>
      </c>
      <c r="BM43" s="606">
        <v>3.2154930378403999E-4</v>
      </c>
      <c r="BN43" s="608">
        <v>3.0333353572467399</v>
      </c>
      <c r="BO43" s="602"/>
    </row>
    <row r="44" spans="1:67">
      <c r="A44" s="607" t="s">
        <v>76</v>
      </c>
      <c r="B44" s="606">
        <v>2040</v>
      </c>
      <c r="C44" s="606" t="s">
        <v>148</v>
      </c>
      <c r="D44" s="606" t="s">
        <v>586</v>
      </c>
      <c r="E44" s="606" t="s">
        <v>586</v>
      </c>
      <c r="F44" s="606" t="s">
        <v>125</v>
      </c>
      <c r="G44" s="606">
        <v>44.432062145122003</v>
      </c>
      <c r="H44" s="606">
        <v>3329.7454203616498</v>
      </c>
      <c r="I44" s="606">
        <v>200.875625443492</v>
      </c>
      <c r="J44" s="606">
        <v>1.5392205341478799E-2</v>
      </c>
      <c r="K44" s="606">
        <v>9.2295252665352699E-4</v>
      </c>
      <c r="L44" s="606">
        <v>1.0096808754747201E-3</v>
      </c>
      <c r="M44" s="606">
        <v>1.7324838743607001E-2</v>
      </c>
      <c r="N44" s="606">
        <v>7.8646372791509798E-5</v>
      </c>
      <c r="O44" s="606">
        <v>3.1823504944147099E-7</v>
      </c>
      <c r="P44" s="606">
        <v>0</v>
      </c>
      <c r="Q44" s="606">
        <v>7.8964607840951195E-5</v>
      </c>
      <c r="R44" s="606">
        <v>3.3033744354270001E-5</v>
      </c>
      <c r="S44" s="606">
        <v>9.7119208401553802E-5</v>
      </c>
      <c r="T44" s="606">
        <v>2.0911756059677501E-4</v>
      </c>
      <c r="U44" s="606">
        <v>8.2202412781031195E-5</v>
      </c>
      <c r="V44" s="606">
        <v>3.3262422623009698E-7</v>
      </c>
      <c r="W44" s="606">
        <v>0</v>
      </c>
      <c r="X44" s="606">
        <v>8.2535037007261305E-5</v>
      </c>
      <c r="Y44" s="606">
        <v>1.3213497741708E-4</v>
      </c>
      <c r="Z44" s="606">
        <v>2.2661148627029201E-4</v>
      </c>
      <c r="AA44" s="606">
        <v>4.4128150069463302E-4</v>
      </c>
      <c r="AB44" s="606">
        <v>5.0374221417514802</v>
      </c>
      <c r="AC44" s="606">
        <v>0.15404891706823901</v>
      </c>
      <c r="AD44" s="606">
        <v>0</v>
      </c>
      <c r="AE44" s="606">
        <v>5.1914710588197197</v>
      </c>
      <c r="AF44" s="606">
        <v>6.2668157906591498E-6</v>
      </c>
      <c r="AG44" s="606">
        <v>3.6266140413535301E-6</v>
      </c>
      <c r="AH44" s="606">
        <v>0</v>
      </c>
      <c r="AI44" s="606">
        <v>9.8934298320126799E-6</v>
      </c>
      <c r="AJ44" s="606">
        <v>7.9181261044967597E-4</v>
      </c>
      <c r="AK44" s="606">
        <v>2.42143445056478E-5</v>
      </c>
      <c r="AL44" s="606">
        <v>0</v>
      </c>
      <c r="AM44" s="606">
        <v>8.1602695495532399E-4</v>
      </c>
      <c r="AN44" s="606">
        <v>1.34922825475438E-4</v>
      </c>
      <c r="AO44" s="606">
        <v>7.8080005813741901E-5</v>
      </c>
      <c r="AP44" s="606">
        <v>0</v>
      </c>
      <c r="AQ44" s="606">
        <v>2.1300283128917999E-4</v>
      </c>
      <c r="AR44" s="606">
        <v>0</v>
      </c>
      <c r="AS44" s="606">
        <v>0</v>
      </c>
      <c r="AT44" s="606">
        <v>0</v>
      </c>
      <c r="AU44" s="606">
        <v>0</v>
      </c>
      <c r="AV44" s="606">
        <v>2.1300283128917999E-4</v>
      </c>
      <c r="AW44" s="606">
        <v>1.5359936630443701E-4</v>
      </c>
      <c r="AX44" s="606">
        <v>8.8888143068281404E-5</v>
      </c>
      <c r="AY44" s="606">
        <v>0</v>
      </c>
      <c r="AZ44" s="606">
        <v>2.4248750937271799E-4</v>
      </c>
      <c r="BA44" s="606">
        <v>0</v>
      </c>
      <c r="BB44" s="606">
        <v>0</v>
      </c>
      <c r="BC44" s="606">
        <v>0</v>
      </c>
      <c r="BD44" s="606">
        <v>0</v>
      </c>
      <c r="BE44" s="606">
        <v>2.4248750937271799E-4</v>
      </c>
      <c r="BF44" s="606">
        <v>1.8713966324177399E-3</v>
      </c>
      <c r="BG44" s="606">
        <v>1.15361611413738E-3</v>
      </c>
      <c r="BH44" s="606">
        <v>0</v>
      </c>
      <c r="BI44" s="606">
        <v>3.0250127465551299E-3</v>
      </c>
      <c r="BJ44" s="606">
        <v>4.75910666117288E-5</v>
      </c>
      <c r="BK44" s="606">
        <v>1.4553777839850001E-6</v>
      </c>
      <c r="BL44" s="606">
        <v>0</v>
      </c>
      <c r="BM44" s="606">
        <v>4.9046444395713802E-5</v>
      </c>
      <c r="BN44" s="608">
        <v>0.46267963320696598</v>
      </c>
      <c r="BO44" s="602"/>
    </row>
    <row r="45" spans="1:67">
      <c r="A45" s="607" t="s">
        <v>76</v>
      </c>
      <c r="B45" s="606">
        <v>2040</v>
      </c>
      <c r="C45" s="606" t="s">
        <v>147</v>
      </c>
      <c r="D45" s="606" t="s">
        <v>586</v>
      </c>
      <c r="E45" s="606" t="s">
        <v>586</v>
      </c>
      <c r="F45" s="606" t="s">
        <v>125</v>
      </c>
      <c r="G45" s="606">
        <v>5.9482769406723</v>
      </c>
      <c r="H45" s="606">
        <v>120.59305065277201</v>
      </c>
      <c r="I45" s="606">
        <v>68.405184817731495</v>
      </c>
      <c r="J45" s="606">
        <v>2.2686554387370999E-4</v>
      </c>
      <c r="K45" s="606">
        <v>4.9234098237454097E-5</v>
      </c>
      <c r="L45" s="606">
        <v>2.5140780075021498E-4</v>
      </c>
      <c r="M45" s="606">
        <v>5.2750744286138003E-4</v>
      </c>
      <c r="N45" s="606">
        <v>8.6755020976869698E-7</v>
      </c>
      <c r="O45" s="606">
        <v>1.6964414597950599E-8</v>
      </c>
      <c r="P45" s="606">
        <v>0</v>
      </c>
      <c r="Q45" s="606">
        <v>8.8451462436664696E-7</v>
      </c>
      <c r="R45" s="606">
        <v>1.19637975378086E-6</v>
      </c>
      <c r="S45" s="606">
        <v>3.51735647611572E-6</v>
      </c>
      <c r="T45" s="606">
        <v>5.59825085426323E-6</v>
      </c>
      <c r="U45" s="606">
        <v>9.0677698055739699E-7</v>
      </c>
      <c r="V45" s="606">
        <v>1.7731470147595001E-8</v>
      </c>
      <c r="W45" s="606">
        <v>0</v>
      </c>
      <c r="X45" s="606">
        <v>9.2450845070499203E-7</v>
      </c>
      <c r="Y45" s="606">
        <v>4.78551901512344E-6</v>
      </c>
      <c r="Z45" s="606">
        <v>8.2071651109367005E-6</v>
      </c>
      <c r="AA45" s="606">
        <v>1.3917192576765101E-5</v>
      </c>
      <c r="AB45" s="606">
        <v>0.16033391270625</v>
      </c>
      <c r="AC45" s="606">
        <v>8.4852801828778305E-3</v>
      </c>
      <c r="AD45" s="606">
        <v>0</v>
      </c>
      <c r="AE45" s="606">
        <v>0.168819192889128</v>
      </c>
      <c r="AF45" s="606">
        <v>9.6727008730633196E-8</v>
      </c>
      <c r="AG45" s="606">
        <v>1.9351853828844499E-7</v>
      </c>
      <c r="AH45" s="606">
        <v>0</v>
      </c>
      <c r="AI45" s="606">
        <v>2.9024554701907798E-7</v>
      </c>
      <c r="AJ45" s="606">
        <v>2.52022582962255E-5</v>
      </c>
      <c r="AK45" s="606">
        <v>1.33376788026451E-6</v>
      </c>
      <c r="AL45" s="606">
        <v>0</v>
      </c>
      <c r="AM45" s="606">
        <v>2.653602617649E-5</v>
      </c>
      <c r="AN45" s="606">
        <v>2.0825059733168999E-6</v>
      </c>
      <c r="AO45" s="606">
        <v>4.1664010623499604E-6</v>
      </c>
      <c r="AP45" s="606">
        <v>0</v>
      </c>
      <c r="AQ45" s="606">
        <v>6.2489070356668697E-6</v>
      </c>
      <c r="AR45" s="606">
        <v>0</v>
      </c>
      <c r="AS45" s="606">
        <v>0</v>
      </c>
      <c r="AT45" s="606">
        <v>0</v>
      </c>
      <c r="AU45" s="606">
        <v>0</v>
      </c>
      <c r="AV45" s="606">
        <v>6.2489070356668697E-6</v>
      </c>
      <c r="AW45" s="606">
        <v>2.3707745275829E-6</v>
      </c>
      <c r="AX45" s="606">
        <v>4.7431304576673504E-6</v>
      </c>
      <c r="AY45" s="606">
        <v>0</v>
      </c>
      <c r="AZ45" s="606">
        <v>7.1139049852502597E-6</v>
      </c>
      <c r="BA45" s="606">
        <v>0</v>
      </c>
      <c r="BB45" s="606">
        <v>0</v>
      </c>
      <c r="BC45" s="606">
        <v>0</v>
      </c>
      <c r="BD45" s="606">
        <v>0</v>
      </c>
      <c r="BE45" s="606">
        <v>7.1139049852502597E-6</v>
      </c>
      <c r="BF45" s="606">
        <v>2.71402282853301E-5</v>
      </c>
      <c r="BG45" s="606">
        <v>6.1561990859580003E-5</v>
      </c>
      <c r="BH45" s="606">
        <v>0</v>
      </c>
      <c r="BI45" s="606">
        <v>8.8702219144910096E-5</v>
      </c>
      <c r="BJ45" s="606">
        <v>1.51475530638557E-6</v>
      </c>
      <c r="BK45" s="606">
        <v>8.0164719779095998E-8</v>
      </c>
      <c r="BL45" s="606">
        <v>0</v>
      </c>
      <c r="BM45" s="606">
        <v>1.59492002616467E-6</v>
      </c>
      <c r="BN45" s="608">
        <v>1.50456780668244E-2</v>
      </c>
      <c r="BO45" s="602"/>
    </row>
    <row r="46" spans="1:67">
      <c r="A46" s="607" t="s">
        <v>76</v>
      </c>
      <c r="B46" s="606">
        <v>2040</v>
      </c>
      <c r="C46" s="606" t="s">
        <v>132</v>
      </c>
      <c r="D46" s="606" t="s">
        <v>586</v>
      </c>
      <c r="E46" s="606" t="s">
        <v>586</v>
      </c>
      <c r="F46" s="606" t="s">
        <v>125</v>
      </c>
      <c r="G46" s="606">
        <v>247.300598948952</v>
      </c>
      <c r="H46" s="606">
        <v>19385.0438616703</v>
      </c>
      <c r="I46" s="606">
        <v>989.20239579581096</v>
      </c>
      <c r="J46" s="606">
        <v>1.66234780241661E-2</v>
      </c>
      <c r="K46" s="606">
        <v>0</v>
      </c>
      <c r="L46" s="606">
        <v>0</v>
      </c>
      <c r="M46" s="606">
        <v>1.66234780241661E-2</v>
      </c>
      <c r="N46" s="606">
        <v>1.1744740880171699E-4</v>
      </c>
      <c r="O46" s="606">
        <v>0</v>
      </c>
      <c r="P46" s="606">
        <v>0</v>
      </c>
      <c r="Q46" s="606">
        <v>1.1744740880171699E-4</v>
      </c>
      <c r="R46" s="606">
        <v>1.7037205998377401E-4</v>
      </c>
      <c r="S46" s="606">
        <v>6.7292838259858502E-4</v>
      </c>
      <c r="T46" s="606">
        <v>9.6074785138407703E-4</v>
      </c>
      <c r="U46" s="606">
        <v>1.22757859462573E-4</v>
      </c>
      <c r="V46" s="606">
        <v>0</v>
      </c>
      <c r="W46" s="606">
        <v>0</v>
      </c>
      <c r="X46" s="606">
        <v>1.22757859462573E-4</v>
      </c>
      <c r="Y46" s="606">
        <v>6.8148823993509605E-4</v>
      </c>
      <c r="Z46" s="606">
        <v>1.5701662260633601E-3</v>
      </c>
      <c r="AA46" s="606">
        <v>2.3744123254610299E-3</v>
      </c>
      <c r="AB46" s="606">
        <v>31.648905079658899</v>
      </c>
      <c r="AC46" s="606">
        <v>0</v>
      </c>
      <c r="AD46" s="606">
        <v>0</v>
      </c>
      <c r="AE46" s="606">
        <v>31.648905079658899</v>
      </c>
      <c r="AF46" s="606">
        <v>1.58492832466214E-3</v>
      </c>
      <c r="AG46" s="606">
        <v>0</v>
      </c>
      <c r="AH46" s="606">
        <v>0</v>
      </c>
      <c r="AI46" s="606">
        <v>1.58492832466214E-3</v>
      </c>
      <c r="AJ46" s="606">
        <v>4.9747671415692699E-3</v>
      </c>
      <c r="AK46" s="606">
        <v>0</v>
      </c>
      <c r="AL46" s="606">
        <v>0</v>
      </c>
      <c r="AM46" s="606">
        <v>4.9747671415692699E-3</v>
      </c>
      <c r="AN46" s="606">
        <v>2.2645498481237002E-5</v>
      </c>
      <c r="AO46" s="606">
        <v>0</v>
      </c>
      <c r="AP46" s="606">
        <v>0</v>
      </c>
      <c r="AQ46" s="606">
        <v>2.2645498481237002E-5</v>
      </c>
      <c r="AR46" s="606">
        <v>0</v>
      </c>
      <c r="AS46" s="606">
        <v>0</v>
      </c>
      <c r="AT46" s="606">
        <v>0</v>
      </c>
      <c r="AU46" s="606">
        <v>0</v>
      </c>
      <c r="AV46" s="606">
        <v>2.2645498481237002E-5</v>
      </c>
      <c r="AW46" s="606">
        <v>1.6175356058026401E-3</v>
      </c>
      <c r="AX46" s="606">
        <v>0</v>
      </c>
      <c r="AY46" s="606">
        <v>0</v>
      </c>
      <c r="AZ46" s="606">
        <v>1.6175356058026401E-3</v>
      </c>
      <c r="BA46" s="606">
        <v>0</v>
      </c>
      <c r="BB46" s="606">
        <v>0</v>
      </c>
      <c r="BC46" s="606">
        <v>0</v>
      </c>
      <c r="BD46" s="606">
        <v>0</v>
      </c>
      <c r="BE46" s="606">
        <v>1.6175356058026401E-3</v>
      </c>
      <c r="BF46" s="606">
        <v>2.6793189674958898E-3</v>
      </c>
      <c r="BG46" s="606">
        <v>0</v>
      </c>
      <c r="BH46" s="606">
        <v>0</v>
      </c>
      <c r="BI46" s="606">
        <v>2.6793189674958898E-3</v>
      </c>
      <c r="BJ46" s="606">
        <v>2.9919596960538099E-4</v>
      </c>
      <c r="BK46" s="606">
        <v>0</v>
      </c>
      <c r="BL46" s="606">
        <v>0</v>
      </c>
      <c r="BM46" s="606">
        <v>2.9919596960538099E-4</v>
      </c>
      <c r="BN46" s="608">
        <v>2.8206463308278198</v>
      </c>
      <c r="BO46" s="602"/>
    </row>
    <row r="47" spans="1:67">
      <c r="A47" s="607" t="s">
        <v>76</v>
      </c>
      <c r="B47" s="606">
        <v>2040</v>
      </c>
      <c r="C47" s="606" t="s">
        <v>144</v>
      </c>
      <c r="D47" s="606" t="s">
        <v>586</v>
      </c>
      <c r="E47" s="606" t="s">
        <v>586</v>
      </c>
      <c r="F47" s="606" t="s">
        <v>10</v>
      </c>
      <c r="G47" s="606">
        <v>22030.247900520801</v>
      </c>
      <c r="H47" s="606">
        <v>568529.59888261498</v>
      </c>
      <c r="I47" s="606">
        <v>105470.090248754</v>
      </c>
      <c r="J47" s="606">
        <v>0</v>
      </c>
      <c r="K47" s="606">
        <v>0</v>
      </c>
      <c r="L47" s="606">
        <v>0</v>
      </c>
      <c r="M47" s="606">
        <v>0</v>
      </c>
      <c r="N47" s="606">
        <v>0</v>
      </c>
      <c r="O47" s="606">
        <v>0</v>
      </c>
      <c r="P47" s="606">
        <v>0</v>
      </c>
      <c r="Q47" s="606">
        <v>0</v>
      </c>
      <c r="R47" s="606">
        <v>1.25339321488722E-3</v>
      </c>
      <c r="S47" s="606">
        <v>9.8704715672368899E-3</v>
      </c>
      <c r="T47" s="606">
        <v>1.1123864782124101E-2</v>
      </c>
      <c r="U47" s="606">
        <v>0</v>
      </c>
      <c r="V47" s="606">
        <v>0</v>
      </c>
      <c r="W47" s="606">
        <v>0</v>
      </c>
      <c r="X47" s="606">
        <v>0</v>
      </c>
      <c r="Y47" s="606">
        <v>5.0135728595488904E-3</v>
      </c>
      <c r="Z47" s="606">
        <v>2.3031100323552701E-2</v>
      </c>
      <c r="AA47" s="606">
        <v>2.8044673183101599E-2</v>
      </c>
      <c r="AB47" s="606">
        <v>0</v>
      </c>
      <c r="AC47" s="606">
        <v>0</v>
      </c>
      <c r="AD47" s="606">
        <v>0</v>
      </c>
      <c r="AE47" s="606">
        <v>0</v>
      </c>
      <c r="AF47" s="606">
        <v>0</v>
      </c>
      <c r="AG47" s="606">
        <v>0</v>
      </c>
      <c r="AH47" s="606">
        <v>0</v>
      </c>
      <c r="AI47" s="606">
        <v>0</v>
      </c>
      <c r="AJ47" s="606">
        <v>0</v>
      </c>
      <c r="AK47" s="606">
        <v>0</v>
      </c>
      <c r="AL47" s="606">
        <v>0</v>
      </c>
      <c r="AM47" s="606">
        <v>0</v>
      </c>
      <c r="AN47" s="606">
        <v>0</v>
      </c>
      <c r="AO47" s="606">
        <v>0</v>
      </c>
      <c r="AP47" s="606">
        <v>0</v>
      </c>
      <c r="AQ47" s="606">
        <v>0</v>
      </c>
      <c r="AR47" s="606">
        <v>2.9147084216817097E-4</v>
      </c>
      <c r="AS47" s="606">
        <v>5.6828603911543505E-4</v>
      </c>
      <c r="AT47" s="606">
        <v>0</v>
      </c>
      <c r="AU47" s="606">
        <v>7.5954818283727898E-5</v>
      </c>
      <c r="AV47" s="606">
        <v>9.3571169956733504E-4</v>
      </c>
      <c r="AW47" s="606">
        <v>0</v>
      </c>
      <c r="AX47" s="606">
        <v>0</v>
      </c>
      <c r="AY47" s="606">
        <v>0</v>
      </c>
      <c r="AZ47" s="606">
        <v>0</v>
      </c>
      <c r="BA47" s="606">
        <v>2.9147084216817097E-4</v>
      </c>
      <c r="BB47" s="606">
        <v>5.6828603911520195E-4</v>
      </c>
      <c r="BC47" s="606">
        <v>0</v>
      </c>
      <c r="BD47" s="606">
        <v>7.5954818283727898E-5</v>
      </c>
      <c r="BE47" s="606">
        <v>9.3571169956710096E-4</v>
      </c>
      <c r="BF47" s="606">
        <v>0</v>
      </c>
      <c r="BG47" s="606">
        <v>0</v>
      </c>
      <c r="BH47" s="606">
        <v>0</v>
      </c>
      <c r="BI47" s="606">
        <v>0</v>
      </c>
      <c r="BJ47" s="606">
        <v>0</v>
      </c>
      <c r="BK47" s="606">
        <v>0</v>
      </c>
      <c r="BL47" s="606">
        <v>0</v>
      </c>
      <c r="BM47" s="606">
        <v>0</v>
      </c>
      <c r="BN47" s="608">
        <v>0</v>
      </c>
      <c r="BO47" s="602"/>
    </row>
    <row r="48" spans="1:67">
      <c r="A48" s="607" t="s">
        <v>76</v>
      </c>
      <c r="B48" s="606">
        <v>2040</v>
      </c>
      <c r="C48" s="606" t="s">
        <v>143</v>
      </c>
      <c r="D48" s="606" t="s">
        <v>586</v>
      </c>
      <c r="E48" s="606" t="s">
        <v>586</v>
      </c>
      <c r="F48" s="606" t="s">
        <v>10</v>
      </c>
      <c r="G48" s="606">
        <v>2710.4815519982299</v>
      </c>
      <c r="H48" s="606">
        <v>67337.1417126327</v>
      </c>
      <c r="I48" s="606">
        <v>12825.047975727301</v>
      </c>
      <c r="J48" s="606">
        <v>0</v>
      </c>
      <c r="K48" s="606">
        <v>0</v>
      </c>
      <c r="L48" s="606">
        <v>0</v>
      </c>
      <c r="M48" s="606">
        <v>0</v>
      </c>
      <c r="N48" s="606">
        <v>0</v>
      </c>
      <c r="O48" s="606">
        <v>0</v>
      </c>
      <c r="P48" s="606">
        <v>0</v>
      </c>
      <c r="Q48" s="606">
        <v>0</v>
      </c>
      <c r="R48" s="606">
        <v>1.4845298591030601E-4</v>
      </c>
      <c r="S48" s="606">
        <v>1.16906726404366E-3</v>
      </c>
      <c r="T48" s="606">
        <v>1.31752024995397E-3</v>
      </c>
      <c r="U48" s="606">
        <v>0</v>
      </c>
      <c r="V48" s="606">
        <v>0</v>
      </c>
      <c r="W48" s="606">
        <v>0</v>
      </c>
      <c r="X48" s="606">
        <v>0</v>
      </c>
      <c r="Y48" s="606">
        <v>5.9381194364122698E-4</v>
      </c>
      <c r="Z48" s="606">
        <v>2.7278236161018799E-3</v>
      </c>
      <c r="AA48" s="606">
        <v>3.3216355597431098E-3</v>
      </c>
      <c r="AB48" s="606">
        <v>0</v>
      </c>
      <c r="AC48" s="606">
        <v>0</v>
      </c>
      <c r="AD48" s="606">
        <v>0</v>
      </c>
      <c r="AE48" s="606">
        <v>0</v>
      </c>
      <c r="AF48" s="606">
        <v>0</v>
      </c>
      <c r="AG48" s="606">
        <v>0</v>
      </c>
      <c r="AH48" s="606">
        <v>0</v>
      </c>
      <c r="AI48" s="606">
        <v>0</v>
      </c>
      <c r="AJ48" s="606">
        <v>0</v>
      </c>
      <c r="AK48" s="606">
        <v>0</v>
      </c>
      <c r="AL48" s="606">
        <v>0</v>
      </c>
      <c r="AM48" s="606">
        <v>0</v>
      </c>
      <c r="AN48" s="606">
        <v>0</v>
      </c>
      <c r="AO48" s="606">
        <v>0</v>
      </c>
      <c r="AP48" s="606">
        <v>0</v>
      </c>
      <c r="AQ48" s="606">
        <v>0</v>
      </c>
      <c r="AR48" s="606">
        <v>3.58609827819296E-5</v>
      </c>
      <c r="AS48" s="606">
        <v>6.9102962730019799E-5</v>
      </c>
      <c r="AT48" s="606">
        <v>0</v>
      </c>
      <c r="AU48" s="606">
        <v>9.3450665953947594E-6</v>
      </c>
      <c r="AV48" s="606">
        <v>1.14309012107344E-4</v>
      </c>
      <c r="AW48" s="606">
        <v>0</v>
      </c>
      <c r="AX48" s="606">
        <v>0</v>
      </c>
      <c r="AY48" s="606">
        <v>0</v>
      </c>
      <c r="AZ48" s="606">
        <v>0</v>
      </c>
      <c r="BA48" s="606">
        <v>3.58609827819296E-5</v>
      </c>
      <c r="BB48" s="606">
        <v>6.9102962729991407E-5</v>
      </c>
      <c r="BC48" s="606">
        <v>0</v>
      </c>
      <c r="BD48" s="606">
        <v>9.3450665953947594E-6</v>
      </c>
      <c r="BE48" s="606">
        <v>1.1430901210731499E-4</v>
      </c>
      <c r="BF48" s="606">
        <v>0</v>
      </c>
      <c r="BG48" s="606">
        <v>0</v>
      </c>
      <c r="BH48" s="606">
        <v>0</v>
      </c>
      <c r="BI48" s="606">
        <v>0</v>
      </c>
      <c r="BJ48" s="606">
        <v>0</v>
      </c>
      <c r="BK48" s="606">
        <v>0</v>
      </c>
      <c r="BL48" s="606">
        <v>0</v>
      </c>
      <c r="BM48" s="606">
        <v>0</v>
      </c>
      <c r="BN48" s="608">
        <v>0</v>
      </c>
      <c r="BO48" s="602"/>
    </row>
    <row r="49" spans="1:67">
      <c r="A49" s="607" t="s">
        <v>76</v>
      </c>
      <c r="B49" s="606">
        <v>2040</v>
      </c>
      <c r="C49" s="606" t="s">
        <v>142</v>
      </c>
      <c r="D49" s="606" t="s">
        <v>586</v>
      </c>
      <c r="E49" s="606" t="s">
        <v>586</v>
      </c>
      <c r="F49" s="606" t="s">
        <v>10</v>
      </c>
      <c r="G49" s="606">
        <v>9767.1808951028106</v>
      </c>
      <c r="H49" s="606">
        <v>168407.02574049699</v>
      </c>
      <c r="I49" s="606">
        <v>46257.634318780998</v>
      </c>
      <c r="J49" s="606">
        <v>0</v>
      </c>
      <c r="K49" s="606">
        <v>0</v>
      </c>
      <c r="L49" s="606">
        <v>0</v>
      </c>
      <c r="M49" s="606">
        <v>0</v>
      </c>
      <c r="N49" s="606">
        <v>0</v>
      </c>
      <c r="O49" s="606">
        <v>0</v>
      </c>
      <c r="P49" s="606">
        <v>0</v>
      </c>
      <c r="Q49" s="606">
        <v>0</v>
      </c>
      <c r="R49" s="606">
        <v>3.7127393862577003E-4</v>
      </c>
      <c r="S49" s="606">
        <v>2.9237822666779399E-3</v>
      </c>
      <c r="T49" s="606">
        <v>3.29505620530371E-3</v>
      </c>
      <c r="U49" s="606">
        <v>0</v>
      </c>
      <c r="V49" s="606">
        <v>0</v>
      </c>
      <c r="W49" s="606">
        <v>0</v>
      </c>
      <c r="X49" s="606">
        <v>0</v>
      </c>
      <c r="Y49" s="606">
        <v>1.4850957545030801E-3</v>
      </c>
      <c r="Z49" s="606">
        <v>6.8221586222485201E-3</v>
      </c>
      <c r="AA49" s="606">
        <v>8.3072543767516004E-3</v>
      </c>
      <c r="AB49" s="606">
        <v>0</v>
      </c>
      <c r="AC49" s="606">
        <v>0</v>
      </c>
      <c r="AD49" s="606">
        <v>0</v>
      </c>
      <c r="AE49" s="606">
        <v>0</v>
      </c>
      <c r="AF49" s="606">
        <v>0</v>
      </c>
      <c r="AG49" s="606">
        <v>0</v>
      </c>
      <c r="AH49" s="606">
        <v>0</v>
      </c>
      <c r="AI49" s="606">
        <v>0</v>
      </c>
      <c r="AJ49" s="606">
        <v>0</v>
      </c>
      <c r="AK49" s="606">
        <v>0</v>
      </c>
      <c r="AL49" s="606">
        <v>0</v>
      </c>
      <c r="AM49" s="606">
        <v>0</v>
      </c>
      <c r="AN49" s="606">
        <v>0</v>
      </c>
      <c r="AO49" s="606">
        <v>0</v>
      </c>
      <c r="AP49" s="606">
        <v>0</v>
      </c>
      <c r="AQ49" s="606">
        <v>0</v>
      </c>
      <c r="AR49" s="606">
        <v>1.2922453047099799E-4</v>
      </c>
      <c r="AS49" s="606">
        <v>2.4924191990231798E-4</v>
      </c>
      <c r="AT49" s="606">
        <v>0</v>
      </c>
      <c r="AU49" s="606">
        <v>3.3674811712595098E-5</v>
      </c>
      <c r="AV49" s="606">
        <v>4.1214126208591101E-4</v>
      </c>
      <c r="AW49" s="606">
        <v>0</v>
      </c>
      <c r="AX49" s="606">
        <v>0</v>
      </c>
      <c r="AY49" s="606">
        <v>0</v>
      </c>
      <c r="AZ49" s="606">
        <v>0</v>
      </c>
      <c r="BA49" s="606">
        <v>1.2922453047099799E-4</v>
      </c>
      <c r="BB49" s="606">
        <v>2.4924191990221498E-4</v>
      </c>
      <c r="BC49" s="606">
        <v>0</v>
      </c>
      <c r="BD49" s="606">
        <v>3.3674811712595098E-5</v>
      </c>
      <c r="BE49" s="606">
        <v>4.1214126208580801E-4</v>
      </c>
      <c r="BF49" s="606">
        <v>0</v>
      </c>
      <c r="BG49" s="606">
        <v>0</v>
      </c>
      <c r="BH49" s="606">
        <v>0</v>
      </c>
      <c r="BI49" s="606">
        <v>0</v>
      </c>
      <c r="BJ49" s="606">
        <v>0</v>
      </c>
      <c r="BK49" s="606">
        <v>0</v>
      </c>
      <c r="BL49" s="606">
        <v>0</v>
      </c>
      <c r="BM49" s="606">
        <v>0</v>
      </c>
      <c r="BN49" s="608">
        <v>0</v>
      </c>
      <c r="BO49" s="602"/>
    </row>
    <row r="50" spans="1:67">
      <c r="A50" s="607" t="s">
        <v>76</v>
      </c>
      <c r="B50" s="606">
        <v>2040</v>
      </c>
      <c r="C50" s="606" t="s">
        <v>138</v>
      </c>
      <c r="D50" s="606" t="s">
        <v>586</v>
      </c>
      <c r="E50" s="606" t="s">
        <v>586</v>
      </c>
      <c r="F50" s="606" t="s">
        <v>10</v>
      </c>
      <c r="G50" s="606">
        <v>7052.5928387241502</v>
      </c>
      <c r="H50" s="606">
        <v>121879.72620400799</v>
      </c>
      <c r="I50" s="606">
        <v>33432.106499044799</v>
      </c>
      <c r="J50" s="606">
        <v>0</v>
      </c>
      <c r="K50" s="606">
        <v>0</v>
      </c>
      <c r="L50" s="606">
        <v>0</v>
      </c>
      <c r="M50" s="606">
        <v>0</v>
      </c>
      <c r="N50" s="606">
        <v>0</v>
      </c>
      <c r="O50" s="606">
        <v>0</v>
      </c>
      <c r="P50" s="606">
        <v>0</v>
      </c>
      <c r="Q50" s="606">
        <v>0</v>
      </c>
      <c r="R50" s="606">
        <v>2.6869880153409202E-4</v>
      </c>
      <c r="S50" s="606">
        <v>2.1160030620809801E-3</v>
      </c>
      <c r="T50" s="606">
        <v>2.38470186361507E-3</v>
      </c>
      <c r="U50" s="606">
        <v>0</v>
      </c>
      <c r="V50" s="606">
        <v>0</v>
      </c>
      <c r="W50" s="606">
        <v>0</v>
      </c>
      <c r="X50" s="606">
        <v>0</v>
      </c>
      <c r="Y50" s="606">
        <v>1.07479520613637E-3</v>
      </c>
      <c r="Z50" s="606">
        <v>4.9373404781889504E-3</v>
      </c>
      <c r="AA50" s="606">
        <v>6.0121356843253204E-3</v>
      </c>
      <c r="AB50" s="606">
        <v>0</v>
      </c>
      <c r="AC50" s="606">
        <v>0</v>
      </c>
      <c r="AD50" s="606">
        <v>0</v>
      </c>
      <c r="AE50" s="606">
        <v>0</v>
      </c>
      <c r="AF50" s="606">
        <v>0</v>
      </c>
      <c r="AG50" s="606">
        <v>0</v>
      </c>
      <c r="AH50" s="606">
        <v>0</v>
      </c>
      <c r="AI50" s="606">
        <v>0</v>
      </c>
      <c r="AJ50" s="606">
        <v>0</v>
      </c>
      <c r="AK50" s="606">
        <v>0</v>
      </c>
      <c r="AL50" s="606">
        <v>0</v>
      </c>
      <c r="AM50" s="606">
        <v>0</v>
      </c>
      <c r="AN50" s="606">
        <v>0</v>
      </c>
      <c r="AO50" s="606">
        <v>0</v>
      </c>
      <c r="AP50" s="606">
        <v>0</v>
      </c>
      <c r="AQ50" s="606">
        <v>0</v>
      </c>
      <c r="AR50" s="606">
        <v>9.3309216648603799E-5</v>
      </c>
      <c r="AS50" s="606">
        <v>1.8013637171275599E-4</v>
      </c>
      <c r="AT50" s="606">
        <v>0</v>
      </c>
      <c r="AU50" s="606">
        <v>2.43155869109284E-5</v>
      </c>
      <c r="AV50" s="606">
        <v>2.9776117527228899E-4</v>
      </c>
      <c r="AW50" s="606">
        <v>0</v>
      </c>
      <c r="AX50" s="606">
        <v>0</v>
      </c>
      <c r="AY50" s="606">
        <v>0</v>
      </c>
      <c r="AZ50" s="606">
        <v>0</v>
      </c>
      <c r="BA50" s="606">
        <v>9.3309216648603799E-5</v>
      </c>
      <c r="BB50" s="606">
        <v>1.8013637171268199E-4</v>
      </c>
      <c r="BC50" s="606">
        <v>0</v>
      </c>
      <c r="BD50" s="606">
        <v>2.43155869109284E-5</v>
      </c>
      <c r="BE50" s="606">
        <v>2.9776117527221402E-4</v>
      </c>
      <c r="BF50" s="606">
        <v>0</v>
      </c>
      <c r="BG50" s="606">
        <v>0</v>
      </c>
      <c r="BH50" s="606">
        <v>0</v>
      </c>
      <c r="BI50" s="606">
        <v>0</v>
      </c>
      <c r="BJ50" s="606">
        <v>0</v>
      </c>
      <c r="BK50" s="606">
        <v>0</v>
      </c>
      <c r="BL50" s="606">
        <v>0</v>
      </c>
      <c r="BM50" s="606">
        <v>0</v>
      </c>
      <c r="BN50" s="608">
        <v>0</v>
      </c>
      <c r="BO50" s="602"/>
    </row>
    <row r="51" spans="1:67">
      <c r="A51" s="607" t="s">
        <v>76</v>
      </c>
      <c r="B51" s="606">
        <v>2040</v>
      </c>
      <c r="C51" s="606" t="s">
        <v>144</v>
      </c>
      <c r="D51" s="606" t="s">
        <v>586</v>
      </c>
      <c r="E51" s="606" t="s">
        <v>586</v>
      </c>
      <c r="F51" s="606" t="s">
        <v>569</v>
      </c>
      <c r="G51" s="606">
        <v>349437.78352416499</v>
      </c>
      <c r="H51" s="606">
        <v>8020889.30786232</v>
      </c>
      <c r="I51" s="606">
        <v>1650688.0709078601</v>
      </c>
      <c r="J51" s="606">
        <v>0.145725339907537</v>
      </c>
      <c r="K51" s="606">
        <v>0</v>
      </c>
      <c r="L51" s="606">
        <v>0.209979274064725</v>
      </c>
      <c r="M51" s="606">
        <v>0.355704613972263</v>
      </c>
      <c r="N51" s="606">
        <v>4.4647361665137199E-3</v>
      </c>
      <c r="O51" s="606">
        <v>0</v>
      </c>
      <c r="P51" s="606">
        <v>1.3162954168952901E-3</v>
      </c>
      <c r="Q51" s="606">
        <v>5.7810315834090197E-3</v>
      </c>
      <c r="R51" s="606">
        <v>1.7683034015458201E-2</v>
      </c>
      <c r="S51" s="606">
        <v>0.13925389287173301</v>
      </c>
      <c r="T51" s="606">
        <v>0.1627179584706</v>
      </c>
      <c r="U51" s="606">
        <v>4.8558079475222197E-3</v>
      </c>
      <c r="V51" s="606">
        <v>0</v>
      </c>
      <c r="W51" s="606">
        <v>1.43159136582043E-3</v>
      </c>
      <c r="X51" s="606">
        <v>6.2873993133426504E-3</v>
      </c>
      <c r="Y51" s="606">
        <v>7.0732136061832998E-2</v>
      </c>
      <c r="Z51" s="606">
        <v>0.324925750034045</v>
      </c>
      <c r="AA51" s="606">
        <v>0.40194528540922098</v>
      </c>
      <c r="AB51" s="606">
        <v>1693.1742455619001</v>
      </c>
      <c r="AC51" s="606">
        <v>0</v>
      </c>
      <c r="AD51" s="606">
        <v>72.268506795128005</v>
      </c>
      <c r="AE51" s="606">
        <v>1765.44275235703</v>
      </c>
      <c r="AF51" s="606">
        <v>5.0891034080702002E-3</v>
      </c>
      <c r="AG51" s="606">
        <v>0</v>
      </c>
      <c r="AH51" s="606">
        <v>3.5957776198973203E-2</v>
      </c>
      <c r="AI51" s="606">
        <v>4.1046879607043403E-2</v>
      </c>
      <c r="AJ51" s="606">
        <v>2.3541522306169699E-2</v>
      </c>
      <c r="AK51" s="606">
        <v>0</v>
      </c>
      <c r="AL51" s="606">
        <v>3.22017258169984E-2</v>
      </c>
      <c r="AM51" s="606">
        <v>5.5743248123168103E-2</v>
      </c>
      <c r="AN51" s="606">
        <v>1.48432311727279E-2</v>
      </c>
      <c r="AO51" s="606">
        <v>0</v>
      </c>
      <c r="AP51" s="606">
        <v>0.13893107786846501</v>
      </c>
      <c r="AQ51" s="606">
        <v>0.15377430904119299</v>
      </c>
      <c r="AR51" s="606">
        <v>2.16378885041483E-2</v>
      </c>
      <c r="AS51" s="606">
        <v>6.7852686176597496E-2</v>
      </c>
      <c r="AT51" s="606">
        <v>0.27917091675023298</v>
      </c>
      <c r="AU51" s="606">
        <v>2.4853642225512999E-2</v>
      </c>
      <c r="AV51" s="606">
        <v>0.54728944269768498</v>
      </c>
      <c r="AW51" s="606">
        <v>2.16592080839898E-2</v>
      </c>
      <c r="AX51" s="606">
        <v>0</v>
      </c>
      <c r="AY51" s="606">
        <v>0.15211204270497899</v>
      </c>
      <c r="AZ51" s="606">
        <v>0.17377125078896899</v>
      </c>
      <c r="BA51" s="606">
        <v>2.16378885041483E-2</v>
      </c>
      <c r="BB51" s="606">
        <v>6.7852686176569602E-2</v>
      </c>
      <c r="BC51" s="606">
        <v>0.27917091675011801</v>
      </c>
      <c r="BD51" s="606">
        <v>2.4853642225512999E-2</v>
      </c>
      <c r="BE51" s="606">
        <v>0.56728638444531898</v>
      </c>
      <c r="BF51" s="606">
        <v>3.1430576764568898</v>
      </c>
      <c r="BG51" s="606">
        <v>0</v>
      </c>
      <c r="BH51" s="606">
        <v>2.7962691846252699</v>
      </c>
      <c r="BI51" s="606">
        <v>5.9393268610821597</v>
      </c>
      <c r="BJ51" s="606">
        <v>1.67553317416206E-2</v>
      </c>
      <c r="BK51" s="606">
        <v>0</v>
      </c>
      <c r="BL51" s="606">
        <v>7.1515545963320799E-4</v>
      </c>
      <c r="BM51" s="606">
        <v>1.7470487201253802E-2</v>
      </c>
      <c r="BN51" s="608">
        <v>186.34813651731</v>
      </c>
      <c r="BO51" s="602"/>
    </row>
    <row r="52" spans="1:67">
      <c r="A52" s="607" t="s">
        <v>76</v>
      </c>
      <c r="B52" s="606">
        <v>2040</v>
      </c>
      <c r="C52" s="606" t="s">
        <v>143</v>
      </c>
      <c r="D52" s="606" t="s">
        <v>586</v>
      </c>
      <c r="E52" s="606" t="s">
        <v>586</v>
      </c>
      <c r="F52" s="606" t="s">
        <v>569</v>
      </c>
      <c r="G52" s="606">
        <v>73612.796127488793</v>
      </c>
      <c r="H52" s="606">
        <v>1570451.4826561499</v>
      </c>
      <c r="I52" s="606">
        <v>341063.47626559401</v>
      </c>
      <c r="J52" s="606">
        <v>3.2352995241516198E-2</v>
      </c>
      <c r="K52" s="606">
        <v>0</v>
      </c>
      <c r="L52" s="606">
        <v>4.85334027434184E-2</v>
      </c>
      <c r="M52" s="606">
        <v>8.0886397984934702E-2</v>
      </c>
      <c r="N52" s="606">
        <v>9.6801756846924905E-4</v>
      </c>
      <c r="O52" s="606">
        <v>0</v>
      </c>
      <c r="P52" s="606">
        <v>2.9972800491744999E-4</v>
      </c>
      <c r="Q52" s="606">
        <v>1.2677455733866899E-3</v>
      </c>
      <c r="R52" s="606">
        <v>3.4622528651796899E-3</v>
      </c>
      <c r="S52" s="606">
        <v>2.7265241313290101E-2</v>
      </c>
      <c r="T52" s="606">
        <v>3.1995239751856502E-2</v>
      </c>
      <c r="U52" s="606">
        <v>1.0528074284811501E-3</v>
      </c>
      <c r="V52" s="606">
        <v>0</v>
      </c>
      <c r="W52" s="606">
        <v>3.2598155279343102E-4</v>
      </c>
      <c r="X52" s="606">
        <v>1.37878898127458E-3</v>
      </c>
      <c r="Y52" s="606">
        <v>1.3849011460718701E-2</v>
      </c>
      <c r="Z52" s="606">
        <v>6.36188963976769E-2</v>
      </c>
      <c r="AA52" s="606">
        <v>7.8846696839670299E-2</v>
      </c>
      <c r="AB52" s="606">
        <v>385.59064758969998</v>
      </c>
      <c r="AC52" s="606">
        <v>0</v>
      </c>
      <c r="AD52" s="606">
        <v>17.350244544696</v>
      </c>
      <c r="AE52" s="606">
        <v>402.94089213439599</v>
      </c>
      <c r="AF52" s="606">
        <v>1.13159964554761E-3</v>
      </c>
      <c r="AG52" s="606">
        <v>0</v>
      </c>
      <c r="AH52" s="606">
        <v>7.8057659029967001E-3</v>
      </c>
      <c r="AI52" s="606">
        <v>8.9373655485443203E-3</v>
      </c>
      <c r="AJ52" s="606">
        <v>4.9291603377361604E-3</v>
      </c>
      <c r="AK52" s="606">
        <v>0</v>
      </c>
      <c r="AL52" s="606">
        <v>7.2323970435787099E-3</v>
      </c>
      <c r="AM52" s="606">
        <v>1.2161557381314801E-2</v>
      </c>
      <c r="AN52" s="606">
        <v>3.4371036331241902E-3</v>
      </c>
      <c r="AO52" s="606">
        <v>0</v>
      </c>
      <c r="AP52" s="606">
        <v>3.0084207038413999E-2</v>
      </c>
      <c r="AQ52" s="606">
        <v>3.3521310671538199E-2</v>
      </c>
      <c r="AR52" s="606">
        <v>6.5455826033463897E-3</v>
      </c>
      <c r="AS52" s="606">
        <v>1.72741659830568E-2</v>
      </c>
      <c r="AT52" s="606">
        <v>7.4729241363875598E-2</v>
      </c>
      <c r="AU52" s="606">
        <v>7.7548144581689399E-3</v>
      </c>
      <c r="AV52" s="606">
        <v>0.13982511507998599</v>
      </c>
      <c r="AW52" s="606">
        <v>5.0154135531389598E-3</v>
      </c>
      <c r="AX52" s="606">
        <v>0</v>
      </c>
      <c r="AY52" s="606">
        <v>3.2938419941614797E-2</v>
      </c>
      <c r="AZ52" s="606">
        <v>3.79538334947538E-2</v>
      </c>
      <c r="BA52" s="606">
        <v>6.5455826033463897E-3</v>
      </c>
      <c r="BB52" s="606">
        <v>1.7274165983049702E-2</v>
      </c>
      <c r="BC52" s="606">
        <v>7.4729241363844803E-2</v>
      </c>
      <c r="BD52" s="606">
        <v>7.7548144581689399E-3</v>
      </c>
      <c r="BE52" s="606">
        <v>0.14425763790316301</v>
      </c>
      <c r="BF52" s="606">
        <v>0.63481106886141003</v>
      </c>
      <c r="BG52" s="606">
        <v>0</v>
      </c>
      <c r="BH52" s="606">
        <v>0.59543240886434201</v>
      </c>
      <c r="BI52" s="606">
        <v>1.23024347772575</v>
      </c>
      <c r="BJ52" s="606">
        <v>3.8157320392548698E-3</v>
      </c>
      <c r="BK52" s="606">
        <v>0</v>
      </c>
      <c r="BL52" s="606">
        <v>1.71694734848834E-4</v>
      </c>
      <c r="BM52" s="606">
        <v>3.9874267741037001E-3</v>
      </c>
      <c r="BN52" s="608">
        <v>42.531701623073701</v>
      </c>
      <c r="BO52" s="602"/>
    </row>
    <row r="53" spans="1:67">
      <c r="A53" s="607" t="s">
        <v>76</v>
      </c>
      <c r="B53" s="606">
        <v>2040</v>
      </c>
      <c r="C53" s="606" t="s">
        <v>142</v>
      </c>
      <c r="D53" s="606" t="s">
        <v>586</v>
      </c>
      <c r="E53" s="606" t="s">
        <v>586</v>
      </c>
      <c r="F53" s="606" t="s">
        <v>569</v>
      </c>
      <c r="G53" s="606">
        <v>222647.186696805</v>
      </c>
      <c r="H53" s="606">
        <v>4820453.9093067497</v>
      </c>
      <c r="I53" s="606">
        <v>1036978.26942355</v>
      </c>
      <c r="J53" s="606">
        <v>9.8024305756293006E-2</v>
      </c>
      <c r="K53" s="606">
        <v>0</v>
      </c>
      <c r="L53" s="606">
        <v>0.14475453295919699</v>
      </c>
      <c r="M53" s="606">
        <v>0.24277883871549</v>
      </c>
      <c r="N53" s="606">
        <v>2.8431314025841401E-3</v>
      </c>
      <c r="O53" s="606">
        <v>0</v>
      </c>
      <c r="P53" s="606">
        <v>8.6342975757380998E-4</v>
      </c>
      <c r="Q53" s="606">
        <v>3.70656116015795E-3</v>
      </c>
      <c r="R53" s="606">
        <v>1.0627281736036999E-2</v>
      </c>
      <c r="S53" s="606">
        <v>8.3689843671291606E-2</v>
      </c>
      <c r="T53" s="606">
        <v>9.8023686567486598E-2</v>
      </c>
      <c r="U53" s="606">
        <v>3.0921648101097498E-3</v>
      </c>
      <c r="V53" s="606">
        <v>0</v>
      </c>
      <c r="W53" s="606">
        <v>9.3905864144888803E-4</v>
      </c>
      <c r="X53" s="606">
        <v>4.0312234515586399E-3</v>
      </c>
      <c r="Y53" s="606">
        <v>4.2509126944148101E-2</v>
      </c>
      <c r="Z53" s="606">
        <v>0.19527630189968001</v>
      </c>
      <c r="AA53" s="606">
        <v>0.24181665229538701</v>
      </c>
      <c r="AB53" s="606">
        <v>1175.64242357898</v>
      </c>
      <c r="AC53" s="606">
        <v>0</v>
      </c>
      <c r="AD53" s="606">
        <v>53.637407668820799</v>
      </c>
      <c r="AE53" s="606">
        <v>1229.2798312478001</v>
      </c>
      <c r="AF53" s="606">
        <v>4.4695007582564996E-3</v>
      </c>
      <c r="AG53" s="606">
        <v>0</v>
      </c>
      <c r="AH53" s="606">
        <v>3.00267963084218E-2</v>
      </c>
      <c r="AI53" s="606">
        <v>3.4496297066678297E-2</v>
      </c>
      <c r="AJ53" s="606">
        <v>1.4672724838929301E-2</v>
      </c>
      <c r="AK53" s="606">
        <v>0</v>
      </c>
      <c r="AL53" s="606">
        <v>2.1841265255810201E-2</v>
      </c>
      <c r="AM53" s="606">
        <v>3.6513990094739601E-2</v>
      </c>
      <c r="AN53" s="606">
        <v>1.40951822000971E-2</v>
      </c>
      <c r="AO53" s="606">
        <v>0</v>
      </c>
      <c r="AP53" s="606">
        <v>0.119834628389259</v>
      </c>
      <c r="AQ53" s="606">
        <v>0.13392981058935599</v>
      </c>
      <c r="AR53" s="606">
        <v>2.6160962160415201E-2</v>
      </c>
      <c r="AS53" s="606">
        <v>5.2240768348610703E-2</v>
      </c>
      <c r="AT53" s="606">
        <v>0.224399625685304</v>
      </c>
      <c r="AU53" s="606">
        <v>3.0868748016798401E-2</v>
      </c>
      <c r="AV53" s="606">
        <v>0.46759991480048502</v>
      </c>
      <c r="AW53" s="606">
        <v>2.0567656779109801E-2</v>
      </c>
      <c r="AX53" s="606">
        <v>0</v>
      </c>
      <c r="AY53" s="606">
        <v>0.13120383423743501</v>
      </c>
      <c r="AZ53" s="606">
        <v>0.151771491016545</v>
      </c>
      <c r="BA53" s="606">
        <v>2.6160962160415201E-2</v>
      </c>
      <c r="BB53" s="606">
        <v>5.2240768348589199E-2</v>
      </c>
      <c r="BC53" s="606">
        <v>0.22439962568521199</v>
      </c>
      <c r="BD53" s="606">
        <v>3.0868748016798401E-2</v>
      </c>
      <c r="BE53" s="606">
        <v>0.48544159522756097</v>
      </c>
      <c r="BF53" s="606">
        <v>2.2306896820208499</v>
      </c>
      <c r="BG53" s="606">
        <v>0</v>
      </c>
      <c r="BH53" s="606">
        <v>2.3180398784693299</v>
      </c>
      <c r="BI53" s="606">
        <v>4.5487295604901803</v>
      </c>
      <c r="BJ53" s="606">
        <v>1.1633934822846E-2</v>
      </c>
      <c r="BK53" s="606">
        <v>0</v>
      </c>
      <c r="BL53" s="606">
        <v>5.3078563036693702E-4</v>
      </c>
      <c r="BM53" s="606">
        <v>1.21647204532129E-2</v>
      </c>
      <c r="BN53" s="608">
        <v>129.75442307914301</v>
      </c>
      <c r="BO53" s="602"/>
    </row>
    <row r="54" spans="1:67">
      <c r="A54" s="607" t="s">
        <v>76</v>
      </c>
      <c r="B54" s="606">
        <v>2040</v>
      </c>
      <c r="C54" s="606" t="s">
        <v>141</v>
      </c>
      <c r="D54" s="606" t="s">
        <v>586</v>
      </c>
      <c r="E54" s="606" t="s">
        <v>586</v>
      </c>
      <c r="F54" s="606" t="s">
        <v>569</v>
      </c>
      <c r="G54" s="606">
        <v>13790.5618115162</v>
      </c>
      <c r="H54" s="606">
        <v>333545.28830948501</v>
      </c>
      <c r="I54" s="606">
        <v>205458.82305449201</v>
      </c>
      <c r="J54" s="606">
        <v>1.3691414731201199E-2</v>
      </c>
      <c r="K54" s="606">
        <v>3.7267963471885397E-4</v>
      </c>
      <c r="L54" s="606">
        <v>6.5432191582567495E-2</v>
      </c>
      <c r="M54" s="606">
        <v>7.9496285948487705E-2</v>
      </c>
      <c r="N54" s="606">
        <v>7.5053740582827801E-4</v>
      </c>
      <c r="O54" s="606">
        <v>0</v>
      </c>
      <c r="P54" s="606">
        <v>6.8501254561386903E-5</v>
      </c>
      <c r="Q54" s="606">
        <v>8.1903866038966495E-4</v>
      </c>
      <c r="R54" s="606">
        <v>7.35341488018164E-4</v>
      </c>
      <c r="S54" s="606">
        <v>1.2044893573737499E-2</v>
      </c>
      <c r="T54" s="606">
        <v>1.35992737221453E-2</v>
      </c>
      <c r="U54" s="606">
        <v>8.1627790852856598E-4</v>
      </c>
      <c r="V54" s="606">
        <v>0</v>
      </c>
      <c r="W54" s="606">
        <v>7.4501364449975499E-5</v>
      </c>
      <c r="X54" s="606">
        <v>8.9077927297854099E-4</v>
      </c>
      <c r="Y54" s="606">
        <v>2.9413659520726499E-3</v>
      </c>
      <c r="Z54" s="606">
        <v>2.8104751672054201E-2</v>
      </c>
      <c r="AA54" s="606">
        <v>3.1936896897105403E-2</v>
      </c>
      <c r="AB54" s="606">
        <v>303.06796833501602</v>
      </c>
      <c r="AC54" s="606">
        <v>1.52473755117121</v>
      </c>
      <c r="AD54" s="606">
        <v>3.5811216066362799</v>
      </c>
      <c r="AE54" s="606">
        <v>308.17382749282302</v>
      </c>
      <c r="AF54" s="606">
        <v>6.9860449198606996E-4</v>
      </c>
      <c r="AG54" s="606">
        <v>1.2791135770424699E-3</v>
      </c>
      <c r="AH54" s="606">
        <v>2.19245785488592E-3</v>
      </c>
      <c r="AI54" s="606">
        <v>4.1701759239144596E-3</v>
      </c>
      <c r="AJ54" s="606">
        <v>1.29347221003069E-3</v>
      </c>
      <c r="AK54" s="606">
        <v>3.5601449781204903E-5</v>
      </c>
      <c r="AL54" s="606">
        <v>6.1444502157880498E-3</v>
      </c>
      <c r="AM54" s="606">
        <v>7.4735238755999503E-3</v>
      </c>
      <c r="AN54" s="606">
        <v>2.2945875310939599E-3</v>
      </c>
      <c r="AO54" s="606">
        <v>4.2803529147766696E-3</v>
      </c>
      <c r="AP54" s="606">
        <v>9.7581049668685194E-3</v>
      </c>
      <c r="AQ54" s="606">
        <v>1.6333045412739101E-2</v>
      </c>
      <c r="AR54" s="606">
        <v>2.9647594236114499E-4</v>
      </c>
      <c r="AS54" s="606">
        <v>1.1746804148465699E-2</v>
      </c>
      <c r="AT54" s="606">
        <v>6.13378324500021E-2</v>
      </c>
      <c r="AU54" s="606">
        <v>2.2888231954421701E-4</v>
      </c>
      <c r="AV54" s="606">
        <v>8.9943040273112396E-2</v>
      </c>
      <c r="AW54" s="606">
        <v>3.3482567390182801E-3</v>
      </c>
      <c r="AX54" s="606">
        <v>6.2458809254684697E-3</v>
      </c>
      <c r="AY54" s="606">
        <v>1.0683896664541E-2</v>
      </c>
      <c r="AZ54" s="606">
        <v>2.0278034329027701E-2</v>
      </c>
      <c r="BA54" s="606">
        <v>2.9647594236114499E-4</v>
      </c>
      <c r="BB54" s="606">
        <v>1.1746804148460899E-2</v>
      </c>
      <c r="BC54" s="606">
        <v>6.1337832449976898E-2</v>
      </c>
      <c r="BD54" s="606">
        <v>2.2888231954421701E-4</v>
      </c>
      <c r="BE54" s="606">
        <v>9.3888029189370906E-2</v>
      </c>
      <c r="BF54" s="606">
        <v>5.5781227776907999E-2</v>
      </c>
      <c r="BG54" s="606">
        <v>5.7482864387436203E-2</v>
      </c>
      <c r="BH54" s="606">
        <v>0.31552649580530601</v>
      </c>
      <c r="BI54" s="606">
        <v>0.42879058796965103</v>
      </c>
      <c r="BJ54" s="606">
        <v>2.9991032305283802E-3</v>
      </c>
      <c r="BK54" s="606">
        <v>1.50885141064153E-5</v>
      </c>
      <c r="BL54" s="606">
        <v>3.54381013552232E-5</v>
      </c>
      <c r="BM54" s="606">
        <v>3.0496298459900201E-3</v>
      </c>
      <c r="BN54" s="608">
        <v>32.528734449204599</v>
      </c>
      <c r="BO54" s="602"/>
    </row>
    <row r="55" spans="1:67">
      <c r="A55" s="607" t="s">
        <v>76</v>
      </c>
      <c r="B55" s="606">
        <v>2040</v>
      </c>
      <c r="C55" s="606" t="s">
        <v>140</v>
      </c>
      <c r="D55" s="606" t="s">
        <v>586</v>
      </c>
      <c r="E55" s="606" t="s">
        <v>586</v>
      </c>
      <c r="F55" s="606" t="s">
        <v>569</v>
      </c>
      <c r="G55" s="606">
        <v>2093.9376419661999</v>
      </c>
      <c r="H55" s="606">
        <v>50006.2062801555</v>
      </c>
      <c r="I55" s="606">
        <v>31196.5508982098</v>
      </c>
      <c r="J55" s="606">
        <v>2.2995043221866501E-3</v>
      </c>
      <c r="K55" s="606">
        <v>5.5887185085956803E-5</v>
      </c>
      <c r="L55" s="606">
        <v>9.7428457651966092E-3</v>
      </c>
      <c r="M55" s="606">
        <v>1.20982372724692E-2</v>
      </c>
      <c r="N55" s="606">
        <v>1.12056661122949E-4</v>
      </c>
      <c r="O55" s="606">
        <v>0</v>
      </c>
      <c r="P55" s="606">
        <v>1.0249509355396201E-5</v>
      </c>
      <c r="Q55" s="606">
        <v>1.2230617047834599E-4</v>
      </c>
      <c r="R55" s="606">
        <v>1.1024481359806699E-4</v>
      </c>
      <c r="S55" s="606">
        <v>2.1067783878590601E-3</v>
      </c>
      <c r="T55" s="606">
        <v>2.3393293719354701E-3</v>
      </c>
      <c r="U55" s="606">
        <v>1.2187184311912E-4</v>
      </c>
      <c r="V55" s="606">
        <v>0</v>
      </c>
      <c r="W55" s="606">
        <v>1.11472765982047E-5</v>
      </c>
      <c r="X55" s="606">
        <v>1.3301911971732501E-4</v>
      </c>
      <c r="Y55" s="606">
        <v>4.4097925439226797E-4</v>
      </c>
      <c r="Z55" s="606">
        <v>4.9158162383378104E-3</v>
      </c>
      <c r="AA55" s="606">
        <v>5.4898146124474096E-3</v>
      </c>
      <c r="AB55" s="606">
        <v>52.0153095661788</v>
      </c>
      <c r="AC55" s="606">
        <v>0.26573089465967498</v>
      </c>
      <c r="AD55" s="606">
        <v>0.61834536802904305</v>
      </c>
      <c r="AE55" s="606">
        <v>52.899385828867501</v>
      </c>
      <c r="AF55" s="606">
        <v>1.04036657157252E-4</v>
      </c>
      <c r="AG55" s="606">
        <v>1.92831429476374E-4</v>
      </c>
      <c r="AH55" s="606">
        <v>3.1336452140827702E-4</v>
      </c>
      <c r="AI55" s="606">
        <v>6.1023260804190398E-4</v>
      </c>
      <c r="AJ55" s="606">
        <v>2.19256505207869E-4</v>
      </c>
      <c r="AK55" s="606">
        <v>5.3260964289275501E-6</v>
      </c>
      <c r="AL55" s="606">
        <v>9.1686990012681798E-4</v>
      </c>
      <c r="AM55" s="606">
        <v>1.1414525017636101E-3</v>
      </c>
      <c r="AN55" s="606">
        <v>3.40353133706067E-4</v>
      </c>
      <c r="AO55" s="606">
        <v>6.4188341217464597E-4</v>
      </c>
      <c r="AP55" s="606">
        <v>1.3625795819775101E-3</v>
      </c>
      <c r="AQ55" s="606">
        <v>2.3448161278582301E-3</v>
      </c>
      <c r="AR55" s="606">
        <v>4.1992274296720097E-5</v>
      </c>
      <c r="AS55" s="606">
        <v>1.57646132537109E-3</v>
      </c>
      <c r="AT55" s="606">
        <v>8.3036771705894893E-3</v>
      </c>
      <c r="AU55" s="606">
        <v>3.2704336396650997E-5</v>
      </c>
      <c r="AV55" s="606">
        <v>1.2299651234512101E-2</v>
      </c>
      <c r="AW55" s="606">
        <v>4.9664249375312405E-4</v>
      </c>
      <c r="AX55" s="606">
        <v>9.3663476827714198E-4</v>
      </c>
      <c r="AY55" s="606">
        <v>1.4918531313701301E-3</v>
      </c>
      <c r="AZ55" s="606">
        <v>2.9251303934004001E-3</v>
      </c>
      <c r="BA55" s="606">
        <v>4.1992274296720097E-5</v>
      </c>
      <c r="BB55" s="606">
        <v>1.5764613253704399E-3</v>
      </c>
      <c r="BC55" s="606">
        <v>8.3036771705860702E-3</v>
      </c>
      <c r="BD55" s="606">
        <v>3.2704336396650997E-5</v>
      </c>
      <c r="BE55" s="606">
        <v>1.2879965500050199E-2</v>
      </c>
      <c r="BF55" s="606">
        <v>8.2805736240978804E-3</v>
      </c>
      <c r="BG55" s="606">
        <v>8.7281094964801395E-3</v>
      </c>
      <c r="BH55" s="606">
        <v>4.7889425803616999E-2</v>
      </c>
      <c r="BI55" s="606">
        <v>6.4898108924195105E-2</v>
      </c>
      <c r="BJ55" s="606">
        <v>5.1473365467780802E-4</v>
      </c>
      <c r="BK55" s="606">
        <v>2.6296226189897498E-6</v>
      </c>
      <c r="BL55" s="606">
        <v>6.1190286820024198E-6</v>
      </c>
      <c r="BM55" s="606">
        <v>5.2348230597880005E-4</v>
      </c>
      <c r="BN55" s="608">
        <v>5.5836995897820696</v>
      </c>
      <c r="BO55" s="602"/>
    </row>
    <row r="56" spans="1:67">
      <c r="A56" s="607" t="s">
        <v>76</v>
      </c>
      <c r="B56" s="606">
        <v>2040</v>
      </c>
      <c r="C56" s="606" t="s">
        <v>139</v>
      </c>
      <c r="D56" s="606" t="s">
        <v>586</v>
      </c>
      <c r="E56" s="606" t="s">
        <v>586</v>
      </c>
      <c r="F56" s="606" t="s">
        <v>569</v>
      </c>
      <c r="G56" s="606">
        <v>30515.643400728099</v>
      </c>
      <c r="H56" s="606">
        <v>186732.33812369101</v>
      </c>
      <c r="I56" s="606">
        <v>61031.286801456299</v>
      </c>
      <c r="J56" s="606">
        <v>0.23535394814472699</v>
      </c>
      <c r="K56" s="606">
        <v>0</v>
      </c>
      <c r="L56" s="606">
        <v>1.8394986881956898E-2</v>
      </c>
      <c r="M56" s="606">
        <v>0.253748935026684</v>
      </c>
      <c r="N56" s="606">
        <v>4.3516574306458301E-4</v>
      </c>
      <c r="O56" s="606">
        <v>0</v>
      </c>
      <c r="P56" s="606">
        <v>1.9194206874480199E-4</v>
      </c>
      <c r="Q56" s="606">
        <v>6.27107811809386E-4</v>
      </c>
      <c r="R56" s="606">
        <v>2.0583716842910199E-4</v>
      </c>
      <c r="S56" s="606">
        <v>1.0374193288826699E-3</v>
      </c>
      <c r="T56" s="606">
        <v>1.8703643091211601E-3</v>
      </c>
      <c r="U56" s="606">
        <v>4.6680830399609098E-4</v>
      </c>
      <c r="V56" s="606">
        <v>0</v>
      </c>
      <c r="W56" s="606">
        <v>2.0581100691387301E-4</v>
      </c>
      <c r="X56" s="606">
        <v>6.7261931090996396E-4</v>
      </c>
      <c r="Y56" s="606">
        <v>8.2334867371640895E-4</v>
      </c>
      <c r="Z56" s="606">
        <v>2.4206451007262402E-3</v>
      </c>
      <c r="AA56" s="606">
        <v>3.9166130853526097E-3</v>
      </c>
      <c r="AB56" s="606">
        <v>43.732136259670597</v>
      </c>
      <c r="AC56" s="606">
        <v>0</v>
      </c>
      <c r="AD56" s="606">
        <v>3.9002177173999</v>
      </c>
      <c r="AE56" s="606">
        <v>47.632353977070501</v>
      </c>
      <c r="AF56" s="606">
        <v>6.5526378577306005E-2</v>
      </c>
      <c r="AG56" s="606">
        <v>0</v>
      </c>
      <c r="AH56" s="606">
        <v>1.6619822046544101E-2</v>
      </c>
      <c r="AI56" s="606">
        <v>8.2146200623850099E-2</v>
      </c>
      <c r="AJ56" s="606">
        <v>1.3525056783056899E-2</v>
      </c>
      <c r="AK56" s="606">
        <v>0</v>
      </c>
      <c r="AL56" s="606">
        <v>1.0458165357994701E-3</v>
      </c>
      <c r="AM56" s="606">
        <v>1.4570873318856399E-2</v>
      </c>
      <c r="AN56" s="606">
        <v>0.43640924107802098</v>
      </c>
      <c r="AO56" s="606">
        <v>0</v>
      </c>
      <c r="AP56" s="606">
        <v>0.12544095444325901</v>
      </c>
      <c r="AQ56" s="606">
        <v>0.56185019552128002</v>
      </c>
      <c r="AR56" s="606">
        <v>4.4246502535016601E-2</v>
      </c>
      <c r="AS56" s="606">
        <v>3.6926516843784299E-2</v>
      </c>
      <c r="AT56" s="606">
        <v>8.3130689348389394E-2</v>
      </c>
      <c r="AU56" s="606">
        <v>2.7083854999733498E-2</v>
      </c>
      <c r="AV56" s="606">
        <v>0.75323775924820402</v>
      </c>
      <c r="AW56" s="606">
        <v>0.54836199769683902</v>
      </c>
      <c r="AX56" s="606">
        <v>0</v>
      </c>
      <c r="AY56" s="606">
        <v>0.136681387496595</v>
      </c>
      <c r="AZ56" s="606">
        <v>0.685043385193434</v>
      </c>
      <c r="BA56" s="606">
        <v>4.4246502535016601E-2</v>
      </c>
      <c r="BB56" s="606">
        <v>3.6926516843769103E-2</v>
      </c>
      <c r="BC56" s="606">
        <v>8.31306893483552E-2</v>
      </c>
      <c r="BD56" s="606">
        <v>2.7083854999733498E-2</v>
      </c>
      <c r="BE56" s="606">
        <v>0.87643094892030904</v>
      </c>
      <c r="BF56" s="606">
        <v>3.5870636407541499</v>
      </c>
      <c r="BG56" s="606">
        <v>0</v>
      </c>
      <c r="BH56" s="606">
        <v>0.63879146357916206</v>
      </c>
      <c r="BI56" s="606">
        <v>4.2258551043333199</v>
      </c>
      <c r="BJ56" s="606">
        <v>4.3276494000613801E-4</v>
      </c>
      <c r="BK56" s="606">
        <v>0</v>
      </c>
      <c r="BL56" s="606">
        <v>3.8595816048391702E-5</v>
      </c>
      <c r="BM56" s="606">
        <v>4.7136075605453E-4</v>
      </c>
      <c r="BN56" s="608">
        <v>5.0277475096314603</v>
      </c>
      <c r="BO56" s="602"/>
    </row>
    <row r="57" spans="1:67">
      <c r="A57" s="607" t="s">
        <v>76</v>
      </c>
      <c r="B57" s="606">
        <v>2040</v>
      </c>
      <c r="C57" s="606" t="s">
        <v>138</v>
      </c>
      <c r="D57" s="606" t="s">
        <v>586</v>
      </c>
      <c r="E57" s="606" t="s">
        <v>586</v>
      </c>
      <c r="F57" s="606" t="s">
        <v>569</v>
      </c>
      <c r="G57" s="606">
        <v>141428.43148638401</v>
      </c>
      <c r="H57" s="606">
        <v>3088106.1312481002</v>
      </c>
      <c r="I57" s="606">
        <v>655825.44388734095</v>
      </c>
      <c r="J57" s="606">
        <v>6.4869110270686897E-2</v>
      </c>
      <c r="K57" s="606">
        <v>0</v>
      </c>
      <c r="L57" s="606">
        <v>9.8887283713417595E-2</v>
      </c>
      <c r="M57" s="606">
        <v>0.16375639398410399</v>
      </c>
      <c r="N57" s="606">
        <v>1.84014618637631E-3</v>
      </c>
      <c r="O57" s="606">
        <v>0</v>
      </c>
      <c r="P57" s="606">
        <v>5.6657570643073502E-4</v>
      </c>
      <c r="Q57" s="606">
        <v>2.4067218928070398E-3</v>
      </c>
      <c r="R57" s="606">
        <v>6.8081086356194601E-3</v>
      </c>
      <c r="S57" s="606">
        <v>5.3613855505503197E-2</v>
      </c>
      <c r="T57" s="606">
        <v>6.2828686033929798E-2</v>
      </c>
      <c r="U57" s="606">
        <v>2.00132687423409E-3</v>
      </c>
      <c r="V57" s="606">
        <v>0</v>
      </c>
      <c r="W57" s="606">
        <v>6.1620277560714995E-4</v>
      </c>
      <c r="X57" s="606">
        <v>2.6175296498412398E-3</v>
      </c>
      <c r="Y57" s="606">
        <v>2.7232434542477799E-2</v>
      </c>
      <c r="Z57" s="606">
        <v>0.12509899617950701</v>
      </c>
      <c r="AA57" s="606">
        <v>0.15494896037182601</v>
      </c>
      <c r="AB57" s="606">
        <v>912.03033474783103</v>
      </c>
      <c r="AC57" s="606">
        <v>0</v>
      </c>
      <c r="AD57" s="606">
        <v>41.235125589485598</v>
      </c>
      <c r="AE57" s="606">
        <v>953.26546033731597</v>
      </c>
      <c r="AF57" s="606">
        <v>2.8787666003519102E-3</v>
      </c>
      <c r="AG57" s="606">
        <v>0</v>
      </c>
      <c r="AH57" s="606">
        <v>1.9767239742740399E-2</v>
      </c>
      <c r="AI57" s="606">
        <v>2.2646006343092301E-2</v>
      </c>
      <c r="AJ57" s="606">
        <v>9.6056850603482707E-3</v>
      </c>
      <c r="AK57" s="606">
        <v>0</v>
      </c>
      <c r="AL57" s="606">
        <v>1.4423746246129099E-2</v>
      </c>
      <c r="AM57" s="606">
        <v>2.4029431306477399E-2</v>
      </c>
      <c r="AN57" s="606">
        <v>9.0575369434608907E-3</v>
      </c>
      <c r="AO57" s="606">
        <v>0</v>
      </c>
      <c r="AP57" s="606">
        <v>8.0467106547310999E-2</v>
      </c>
      <c r="AQ57" s="606">
        <v>8.9524643490771896E-2</v>
      </c>
      <c r="AR57" s="606">
        <v>2.5290001396920701E-2</v>
      </c>
      <c r="AS57" s="606">
        <v>4.6432055035712398E-2</v>
      </c>
      <c r="AT57" s="606">
        <v>0.148459337554673</v>
      </c>
      <c r="AU57" s="606">
        <v>2.9664503106350801E-2</v>
      </c>
      <c r="AV57" s="606">
        <v>0.339370540584429</v>
      </c>
      <c r="AW57" s="606">
        <v>1.32167366460809E-2</v>
      </c>
      <c r="AX57" s="606">
        <v>0</v>
      </c>
      <c r="AY57" s="606">
        <v>8.8101353097246704E-2</v>
      </c>
      <c r="AZ57" s="606">
        <v>0.101318089743327</v>
      </c>
      <c r="BA57" s="606">
        <v>2.5290001396920701E-2</v>
      </c>
      <c r="BB57" s="606">
        <v>4.6432055035693302E-2</v>
      </c>
      <c r="BC57" s="606">
        <v>0.14845933755461199</v>
      </c>
      <c r="BD57" s="606">
        <v>2.9664503106350801E-2</v>
      </c>
      <c r="BE57" s="606">
        <v>0.35116398683690397</v>
      </c>
      <c r="BF57" s="606">
        <v>1.42604357190825</v>
      </c>
      <c r="BG57" s="606">
        <v>0</v>
      </c>
      <c r="BH57" s="606">
        <v>1.4941959444272399</v>
      </c>
      <c r="BI57" s="606">
        <v>2.9202395163355002</v>
      </c>
      <c r="BJ57" s="606">
        <v>9.0252795051520892E-3</v>
      </c>
      <c r="BK57" s="606">
        <v>0</v>
      </c>
      <c r="BL57" s="606">
        <v>4.0805499520808801E-4</v>
      </c>
      <c r="BM57" s="606">
        <v>9.4333345003601802E-3</v>
      </c>
      <c r="BN57" s="608">
        <v>100.620222266063</v>
      </c>
      <c r="BO57" s="602"/>
    </row>
    <row r="58" spans="1:67">
      <c r="A58" s="607" t="s">
        <v>76</v>
      </c>
      <c r="B58" s="606">
        <v>2040</v>
      </c>
      <c r="C58" s="606" t="s">
        <v>137</v>
      </c>
      <c r="D58" s="606" t="s">
        <v>586</v>
      </c>
      <c r="E58" s="606" t="s">
        <v>586</v>
      </c>
      <c r="F58" s="606" t="s">
        <v>569</v>
      </c>
      <c r="G58" s="606">
        <v>2166.7754270201399</v>
      </c>
      <c r="H58" s="606">
        <v>15436.6153033475</v>
      </c>
      <c r="I58" s="606">
        <v>216.76421371909501</v>
      </c>
      <c r="J58" s="606">
        <v>1.7418513142630301E-3</v>
      </c>
      <c r="K58" s="606">
        <v>0</v>
      </c>
      <c r="L58" s="606">
        <v>7.4717818953570699E-5</v>
      </c>
      <c r="M58" s="606">
        <v>1.8165691332165999E-3</v>
      </c>
      <c r="N58" s="606">
        <v>2.2014667618953701E-5</v>
      </c>
      <c r="O58" s="606">
        <v>0</v>
      </c>
      <c r="P58" s="606">
        <v>7.0528835395921801E-8</v>
      </c>
      <c r="Q58" s="606">
        <v>2.20851964543496E-5</v>
      </c>
      <c r="R58" s="606">
        <v>5.1047866953805601E-5</v>
      </c>
      <c r="S58" s="606">
        <v>9.5051128267986001E-4</v>
      </c>
      <c r="T58" s="606">
        <v>1.02364434608801E-3</v>
      </c>
      <c r="U58" s="606">
        <v>2.3942959673168598E-5</v>
      </c>
      <c r="V58" s="606">
        <v>0</v>
      </c>
      <c r="W58" s="606">
        <v>7.6706543605783601E-8</v>
      </c>
      <c r="X58" s="606">
        <v>2.40196662167744E-5</v>
      </c>
      <c r="Y58" s="606">
        <v>2.04191467815222E-4</v>
      </c>
      <c r="Z58" s="606">
        <v>2.2178596595863399E-3</v>
      </c>
      <c r="AA58" s="606">
        <v>2.4460707936183302E-3</v>
      </c>
      <c r="AB58" s="606">
        <v>23.993383034011899</v>
      </c>
      <c r="AC58" s="606">
        <v>0</v>
      </c>
      <c r="AD58" s="606">
        <v>4.8512211134012599E-3</v>
      </c>
      <c r="AE58" s="606">
        <v>23.998234255125301</v>
      </c>
      <c r="AF58" s="606">
        <v>6.5499221639733196E-5</v>
      </c>
      <c r="AG58" s="606">
        <v>0</v>
      </c>
      <c r="AH58" s="606">
        <v>6.5004649325124898E-6</v>
      </c>
      <c r="AI58" s="606">
        <v>7.1999686572245697E-5</v>
      </c>
      <c r="AJ58" s="606">
        <v>2.0891444113186499E-4</v>
      </c>
      <c r="AK58" s="606">
        <v>0</v>
      </c>
      <c r="AL58" s="606">
        <v>8.8780954385379002E-6</v>
      </c>
      <c r="AM58" s="606">
        <v>2.1779253657040301E-4</v>
      </c>
      <c r="AN58" s="606">
        <v>1.8565373359126199E-4</v>
      </c>
      <c r="AO58" s="606">
        <v>0</v>
      </c>
      <c r="AP58" s="606">
        <v>2.3578871523160999E-5</v>
      </c>
      <c r="AQ58" s="606">
        <v>2.0923260511442301E-4</v>
      </c>
      <c r="AR58" s="606">
        <v>5.7481263709067902E-5</v>
      </c>
      <c r="AS58" s="606">
        <v>4.2765989052191202E-6</v>
      </c>
      <c r="AT58" s="606">
        <v>5.2269184306516301E-5</v>
      </c>
      <c r="AU58" s="606">
        <v>3.2992898777648801E-5</v>
      </c>
      <c r="AV58" s="606">
        <v>3.5625255081287599E-4</v>
      </c>
      <c r="AW58" s="606">
        <v>2.7090549224962002E-4</v>
      </c>
      <c r="AX58" s="606">
        <v>0</v>
      </c>
      <c r="AY58" s="606">
        <v>2.5815896393332499E-5</v>
      </c>
      <c r="AZ58" s="606">
        <v>2.9672138864295301E-4</v>
      </c>
      <c r="BA58" s="606">
        <v>5.7481263709067902E-5</v>
      </c>
      <c r="BB58" s="606">
        <v>4.2765989052173601E-6</v>
      </c>
      <c r="BC58" s="606">
        <v>5.22691843064948E-5</v>
      </c>
      <c r="BD58" s="606">
        <v>3.2992898777648801E-5</v>
      </c>
      <c r="BE58" s="606">
        <v>4.4374133434138102E-4</v>
      </c>
      <c r="BF58" s="606">
        <v>2.86430027715572E-3</v>
      </c>
      <c r="BG58" s="606">
        <v>0</v>
      </c>
      <c r="BH58" s="606">
        <v>5.2431406211959095E-4</v>
      </c>
      <c r="BI58" s="606">
        <v>3.3886143392753199E-3</v>
      </c>
      <c r="BJ58" s="606">
        <v>2.37433975500393E-4</v>
      </c>
      <c r="BK58" s="606">
        <v>0</v>
      </c>
      <c r="BL58" s="606">
        <v>4.8006765588391697E-8</v>
      </c>
      <c r="BM58" s="606">
        <v>2.3748198226598201E-4</v>
      </c>
      <c r="BN58" s="608">
        <v>2.5330904823608198</v>
      </c>
      <c r="BO58" s="602"/>
    </row>
    <row r="59" spans="1:67">
      <c r="A59" s="607" t="s">
        <v>76</v>
      </c>
      <c r="B59" s="606">
        <v>2040</v>
      </c>
      <c r="C59" s="606" t="s">
        <v>136</v>
      </c>
      <c r="D59" s="606" t="s">
        <v>586</v>
      </c>
      <c r="E59" s="606" t="s">
        <v>586</v>
      </c>
      <c r="F59" s="606" t="s">
        <v>569</v>
      </c>
      <c r="G59" s="606">
        <v>398.474011920034</v>
      </c>
      <c r="H59" s="606">
        <v>16089.7797573607</v>
      </c>
      <c r="I59" s="606">
        <v>7972.6680304960501</v>
      </c>
      <c r="J59" s="606">
        <v>2.0584576587848401E-3</v>
      </c>
      <c r="K59" s="606">
        <v>2.86896129425403E-5</v>
      </c>
      <c r="L59" s="606">
        <v>2.60251554161498E-3</v>
      </c>
      <c r="M59" s="606">
        <v>4.6896628133423603E-3</v>
      </c>
      <c r="N59" s="606">
        <v>2.2715169042112399E-5</v>
      </c>
      <c r="O59" s="606">
        <v>0</v>
      </c>
      <c r="P59" s="606">
        <v>2.43917697328482E-6</v>
      </c>
      <c r="Q59" s="606">
        <v>2.5154346015397199E-5</v>
      </c>
      <c r="R59" s="606">
        <v>5.3207838650462797E-5</v>
      </c>
      <c r="S59" s="606">
        <v>9.907299556716181E-4</v>
      </c>
      <c r="T59" s="606">
        <v>1.0690921403374699E-3</v>
      </c>
      <c r="U59" s="606">
        <v>2.47048188852172E-5</v>
      </c>
      <c r="V59" s="606">
        <v>0</v>
      </c>
      <c r="W59" s="606">
        <v>2.6528275110907899E-6</v>
      </c>
      <c r="X59" s="606">
        <v>2.7357646396308E-5</v>
      </c>
      <c r="Y59" s="606">
        <v>2.12831354601851E-4</v>
      </c>
      <c r="Z59" s="606">
        <v>2.3117032299004399E-3</v>
      </c>
      <c r="AA59" s="606">
        <v>2.5518922308986002E-3</v>
      </c>
      <c r="AB59" s="606">
        <v>25.0911292938986</v>
      </c>
      <c r="AC59" s="606">
        <v>0.13770598837283099</v>
      </c>
      <c r="AD59" s="606">
        <v>0.18677942120700999</v>
      </c>
      <c r="AE59" s="606">
        <v>25.415614703478401</v>
      </c>
      <c r="AF59" s="606">
        <v>6.5346111723807798E-5</v>
      </c>
      <c r="AG59" s="606">
        <v>8.9186007318923905E-5</v>
      </c>
      <c r="AH59" s="606">
        <v>2.18738714406321E-4</v>
      </c>
      <c r="AI59" s="606">
        <v>3.73270833449052E-4</v>
      </c>
      <c r="AJ59" s="606">
        <v>1.7246551514719501E-4</v>
      </c>
      <c r="AK59" s="606">
        <v>2.60489031366978E-6</v>
      </c>
      <c r="AL59" s="606">
        <v>2.31763763846077E-4</v>
      </c>
      <c r="AM59" s="606">
        <v>4.0683416930694299E-4</v>
      </c>
      <c r="AN59" s="606">
        <v>2.5382411471666801E-4</v>
      </c>
      <c r="AO59" s="606">
        <v>3.2946978630273499E-4</v>
      </c>
      <c r="AP59" s="606">
        <v>1.0653396881972401E-3</v>
      </c>
      <c r="AQ59" s="606">
        <v>1.6486335892166399E-3</v>
      </c>
      <c r="AR59" s="606">
        <v>1.2459152941682301E-5</v>
      </c>
      <c r="AS59" s="606">
        <v>2.0641803587591299E-4</v>
      </c>
      <c r="AT59" s="606">
        <v>2.4172981985086401E-3</v>
      </c>
      <c r="AU59" s="606">
        <v>7.2060937775132597E-6</v>
      </c>
      <c r="AV59" s="606">
        <v>4.2920150703203899E-3</v>
      </c>
      <c r="AW59" s="606">
        <v>3.70379552363493E-4</v>
      </c>
      <c r="AX59" s="606">
        <v>4.80761538769939E-4</v>
      </c>
      <c r="AY59" s="606">
        <v>1.1664128619213001E-3</v>
      </c>
      <c r="AZ59" s="606">
        <v>2.0175539530547402E-3</v>
      </c>
      <c r="BA59" s="606">
        <v>1.2459152941682301E-5</v>
      </c>
      <c r="BB59" s="606">
        <v>2.0641803587582801E-4</v>
      </c>
      <c r="BC59" s="606">
        <v>2.41729819850764E-3</v>
      </c>
      <c r="BD59" s="606">
        <v>7.2060937775132597E-6</v>
      </c>
      <c r="BE59" s="606">
        <v>4.6609354341574103E-3</v>
      </c>
      <c r="BF59" s="606">
        <v>4.7120526072949804E-3</v>
      </c>
      <c r="BG59" s="606">
        <v>2.54655350949809E-3</v>
      </c>
      <c r="BH59" s="606">
        <v>2.1069643490235102E-2</v>
      </c>
      <c r="BI59" s="606">
        <v>2.8328249607028101E-2</v>
      </c>
      <c r="BJ59" s="606">
        <v>2.4829706463651502E-4</v>
      </c>
      <c r="BK59" s="606">
        <v>1.36271238712872E-6</v>
      </c>
      <c r="BL59" s="606">
        <v>1.8483337866935001E-6</v>
      </c>
      <c r="BM59" s="606">
        <v>2.5150811081033699E-4</v>
      </c>
      <c r="BN59" s="608">
        <v>2.6826995279863701</v>
      </c>
      <c r="BO59" s="602"/>
    </row>
    <row r="60" spans="1:67">
      <c r="A60" s="607" t="s">
        <v>76</v>
      </c>
      <c r="B60" s="606">
        <v>2040</v>
      </c>
      <c r="C60" s="606" t="s">
        <v>135</v>
      </c>
      <c r="D60" s="606" t="s">
        <v>586</v>
      </c>
      <c r="E60" s="606" t="s">
        <v>586</v>
      </c>
      <c r="F60" s="606" t="s">
        <v>569</v>
      </c>
      <c r="G60" s="606">
        <v>274.33541927163299</v>
      </c>
      <c r="H60" s="606">
        <v>10546.7984942332</v>
      </c>
      <c r="I60" s="606">
        <v>1097.3416770865299</v>
      </c>
      <c r="J60" s="606">
        <v>1.2534798621247499E-3</v>
      </c>
      <c r="K60" s="606">
        <v>2.8018552514308501E-4</v>
      </c>
      <c r="L60" s="606">
        <v>5.6620633905340805E-4</v>
      </c>
      <c r="M60" s="606">
        <v>2.0998717263212498E-3</v>
      </c>
      <c r="N60" s="606">
        <v>1.7264100952095099E-5</v>
      </c>
      <c r="O60" s="606">
        <v>0</v>
      </c>
      <c r="P60" s="606">
        <v>8.1753952654443204E-7</v>
      </c>
      <c r="Q60" s="606">
        <v>1.8081640478639602E-5</v>
      </c>
      <c r="R60" s="606">
        <v>2.32517105484672E-5</v>
      </c>
      <c r="S60" s="606">
        <v>3.7109729547067801E-3</v>
      </c>
      <c r="T60" s="606">
        <v>3.75230630573389E-3</v>
      </c>
      <c r="U60" s="606">
        <v>1.8776284977096199E-5</v>
      </c>
      <c r="V60" s="606">
        <v>0</v>
      </c>
      <c r="W60" s="606">
        <v>8.8914882813956496E-7</v>
      </c>
      <c r="X60" s="606">
        <v>1.96654338052357E-5</v>
      </c>
      <c r="Y60" s="606">
        <v>9.3006842193869098E-5</v>
      </c>
      <c r="Z60" s="606">
        <v>8.6589368943158305E-3</v>
      </c>
      <c r="AA60" s="606">
        <v>8.7716091703149406E-3</v>
      </c>
      <c r="AB60" s="606">
        <v>8.2479746572487898</v>
      </c>
      <c r="AC60" s="606">
        <v>0.65108532941942499</v>
      </c>
      <c r="AD60" s="606">
        <v>4.8412821862401902E-2</v>
      </c>
      <c r="AE60" s="606">
        <v>8.9474728085306197</v>
      </c>
      <c r="AF60" s="606">
        <v>3.1174546564553799E-5</v>
      </c>
      <c r="AG60" s="606">
        <v>7.3143873017711999E-4</v>
      </c>
      <c r="AH60" s="606">
        <v>6.3540264819899697E-5</v>
      </c>
      <c r="AI60" s="606">
        <v>8.2615354156157395E-4</v>
      </c>
      <c r="AJ60" s="606">
        <v>1.27259781363019E-4</v>
      </c>
      <c r="AK60" s="606">
        <v>2.9198511060817201E-5</v>
      </c>
      <c r="AL60" s="606">
        <v>5.7340898478626897E-5</v>
      </c>
      <c r="AM60" s="606">
        <v>2.13799190902463E-4</v>
      </c>
      <c r="AN60" s="606">
        <v>1.37167208765153E-4</v>
      </c>
      <c r="AO60" s="606">
        <v>3.2180264696491201E-3</v>
      </c>
      <c r="AP60" s="606">
        <v>3.5918836310723902E-4</v>
      </c>
      <c r="AQ60" s="606">
        <v>3.7143820415215102E-3</v>
      </c>
      <c r="AR60" s="606">
        <v>7.5072614784614597E-6</v>
      </c>
      <c r="AS60" s="606">
        <v>7.8491070959657195E-5</v>
      </c>
      <c r="AT60" s="606">
        <v>5.4632288119307697E-4</v>
      </c>
      <c r="AU60" s="606">
        <v>4.3499460288842797E-6</v>
      </c>
      <c r="AV60" s="606">
        <v>4.3510532011815902E-3</v>
      </c>
      <c r="AW60" s="606">
        <v>2.0015406904145899E-4</v>
      </c>
      <c r="AX60" s="606">
        <v>4.6957366704616097E-3</v>
      </c>
      <c r="AY60" s="606">
        <v>3.9326604577147398E-4</v>
      </c>
      <c r="AZ60" s="606">
        <v>5.2891567852745404E-3</v>
      </c>
      <c r="BA60" s="606">
        <v>7.5072614784614597E-6</v>
      </c>
      <c r="BB60" s="606">
        <v>7.8491070959624994E-5</v>
      </c>
      <c r="BC60" s="606">
        <v>5.46322881192852E-4</v>
      </c>
      <c r="BD60" s="606">
        <v>4.3499460288842797E-6</v>
      </c>
      <c r="BE60" s="606">
        <v>5.9258279449343702E-3</v>
      </c>
      <c r="BF60" s="606">
        <v>2.3586916483616101E-3</v>
      </c>
      <c r="BG60" s="606">
        <v>2.48698839040736E-2</v>
      </c>
      <c r="BH60" s="606">
        <v>8.5425293945340305E-3</v>
      </c>
      <c r="BI60" s="606">
        <v>3.57711049469693E-2</v>
      </c>
      <c r="BJ60" s="606">
        <v>8.1620395503252105E-5</v>
      </c>
      <c r="BK60" s="606">
        <v>6.4430171408049302E-6</v>
      </c>
      <c r="BL60" s="606">
        <v>4.7908411847082399E-7</v>
      </c>
      <c r="BM60" s="606">
        <v>8.8542496762527794E-5</v>
      </c>
      <c r="BN60" s="608">
        <v>0.94443441011209495</v>
      </c>
      <c r="BO60" s="602"/>
    </row>
    <row r="61" spans="1:67">
      <c r="A61" s="607" t="s">
        <v>76</v>
      </c>
      <c r="B61" s="606">
        <v>2040</v>
      </c>
      <c r="C61" s="606" t="s">
        <v>134</v>
      </c>
      <c r="D61" s="606" t="s">
        <v>586</v>
      </c>
      <c r="E61" s="606" t="s">
        <v>586</v>
      </c>
      <c r="F61" s="606" t="s">
        <v>569</v>
      </c>
      <c r="G61" s="606">
        <v>1772.2728491093301</v>
      </c>
      <c r="H61" s="606">
        <v>77400.920660109798</v>
      </c>
      <c r="I61" s="606">
        <v>35459.635164979503</v>
      </c>
      <c r="J61" s="606">
        <v>7.76592695762497E-3</v>
      </c>
      <c r="K61" s="606">
        <v>1.7494967104004E-4</v>
      </c>
      <c r="L61" s="606">
        <v>1.32358423956491E-2</v>
      </c>
      <c r="M61" s="606">
        <v>2.1176719024314099E-2</v>
      </c>
      <c r="N61" s="606">
        <v>1.10483164515731E-4</v>
      </c>
      <c r="O61" s="606">
        <v>0</v>
      </c>
      <c r="P61" s="606">
        <v>1.5563166179089701E-5</v>
      </c>
      <c r="Q61" s="606">
        <v>1.2604633069482099E-4</v>
      </c>
      <c r="R61" s="606">
        <v>2.5595973095879999E-4</v>
      </c>
      <c r="S61" s="606">
        <v>4.7659701904528597E-3</v>
      </c>
      <c r="T61" s="606">
        <v>5.1479762521064801E-3</v>
      </c>
      <c r="U61" s="606">
        <v>1.20160521991562E-4</v>
      </c>
      <c r="V61" s="606">
        <v>0</v>
      </c>
      <c r="W61" s="606">
        <v>1.6926363216674199E-5</v>
      </c>
      <c r="X61" s="606">
        <v>1.37086885208236E-4</v>
      </c>
      <c r="Y61" s="606">
        <v>1.0238389238352E-3</v>
      </c>
      <c r="Z61" s="606">
        <v>1.1120597111056601E-2</v>
      </c>
      <c r="AA61" s="606">
        <v>1.22815229201001E-2</v>
      </c>
      <c r="AB61" s="606">
        <v>119.735282994782</v>
      </c>
      <c r="AC61" s="606">
        <v>0.85644207735756595</v>
      </c>
      <c r="AD61" s="606">
        <v>1.1714001880239999</v>
      </c>
      <c r="AE61" s="606">
        <v>121.76312526016299</v>
      </c>
      <c r="AF61" s="606">
        <v>2.5611247286976501E-4</v>
      </c>
      <c r="AG61" s="606">
        <v>5.3808614788863299E-4</v>
      </c>
      <c r="AH61" s="606">
        <v>1.2223080830671099E-3</v>
      </c>
      <c r="AI61" s="606">
        <v>2.01650670382551E-3</v>
      </c>
      <c r="AJ61" s="606">
        <v>7.1672359822660904E-4</v>
      </c>
      <c r="AK61" s="606">
        <v>1.6173880063717501E-5</v>
      </c>
      <c r="AL61" s="606">
        <v>1.2183657738920001E-3</v>
      </c>
      <c r="AM61" s="606">
        <v>1.9512632521823301E-3</v>
      </c>
      <c r="AN61" s="606">
        <v>9.5251896303269804E-4</v>
      </c>
      <c r="AO61" s="606">
        <v>2.0093368810272798E-3</v>
      </c>
      <c r="AP61" s="606">
        <v>5.9003374747828904E-3</v>
      </c>
      <c r="AQ61" s="606">
        <v>8.8621933188428696E-3</v>
      </c>
      <c r="AR61" s="606">
        <v>3.3066842310465102E-5</v>
      </c>
      <c r="AS61" s="606">
        <v>1.7575025639000499E-3</v>
      </c>
      <c r="AT61" s="606">
        <v>8.8454035328478908E-3</v>
      </c>
      <c r="AU61" s="606">
        <v>2.5673198332763701E-5</v>
      </c>
      <c r="AV61" s="606">
        <v>1.9523839456234E-2</v>
      </c>
      <c r="AW61" s="606">
        <v>1.389913434898E-3</v>
      </c>
      <c r="AX61" s="606">
        <v>2.9320196600432398E-3</v>
      </c>
      <c r="AY61" s="606">
        <v>6.4601268464043703E-3</v>
      </c>
      <c r="AZ61" s="606">
        <v>1.0782059941345601E-2</v>
      </c>
      <c r="BA61" s="606">
        <v>3.3066842310465102E-5</v>
      </c>
      <c r="BB61" s="606">
        <v>1.75750256389933E-3</v>
      </c>
      <c r="BC61" s="606">
        <v>8.8454035328442496E-3</v>
      </c>
      <c r="BD61" s="606">
        <v>2.5673198332763701E-5</v>
      </c>
      <c r="BE61" s="606">
        <v>2.1443706078732399E-2</v>
      </c>
      <c r="BF61" s="606">
        <v>1.6780216446641402E-2</v>
      </c>
      <c r="BG61" s="606">
        <v>2.9890759395261399E-2</v>
      </c>
      <c r="BH61" s="606">
        <v>0.11487547076264901</v>
      </c>
      <c r="BI61" s="606">
        <v>0.161546446604552</v>
      </c>
      <c r="BJ61" s="606">
        <v>1.18487768935359E-3</v>
      </c>
      <c r="BK61" s="606">
        <v>8.47518863532351E-6</v>
      </c>
      <c r="BL61" s="606">
        <v>1.1591954463036E-5</v>
      </c>
      <c r="BM61" s="606">
        <v>1.2049448324519499E-3</v>
      </c>
      <c r="BN61" s="608">
        <v>12.8524878297308</v>
      </c>
      <c r="BO61" s="602"/>
    </row>
    <row r="62" spans="1:67">
      <c r="A62" s="607" t="s">
        <v>76</v>
      </c>
      <c r="B62" s="606">
        <v>2040</v>
      </c>
      <c r="C62" s="606" t="s">
        <v>133</v>
      </c>
      <c r="D62" s="606" t="s">
        <v>586</v>
      </c>
      <c r="E62" s="606" t="s">
        <v>586</v>
      </c>
      <c r="F62" s="606" t="s">
        <v>569</v>
      </c>
      <c r="G62" s="606">
        <v>7.0246675307114899</v>
      </c>
      <c r="H62" s="606">
        <v>723.92851930956397</v>
      </c>
      <c r="I62" s="606">
        <v>140.549547954475</v>
      </c>
      <c r="J62" s="606">
        <v>2.47862431612907E-3</v>
      </c>
      <c r="K62" s="606">
        <v>0</v>
      </c>
      <c r="L62" s="606">
        <v>3.5299458239340003E-5</v>
      </c>
      <c r="M62" s="606">
        <v>2.51392377436841E-3</v>
      </c>
      <c r="N62" s="606">
        <v>8.6281070962809802E-7</v>
      </c>
      <c r="O62" s="606">
        <v>0</v>
      </c>
      <c r="P62" s="606">
        <v>6.1827971629655894E-8</v>
      </c>
      <c r="Q62" s="606">
        <v>9.2463868125775396E-7</v>
      </c>
      <c r="R62" s="606">
        <v>3.98997297567838E-6</v>
      </c>
      <c r="S62" s="606">
        <v>2.1114936987290001E-5</v>
      </c>
      <c r="T62" s="606">
        <v>2.60295486442261E-5</v>
      </c>
      <c r="U62" s="606">
        <v>9.3838537032545003E-7</v>
      </c>
      <c r="V62" s="606">
        <v>0</v>
      </c>
      <c r="W62" s="606">
        <v>6.7243560385538106E-8</v>
      </c>
      <c r="X62" s="606">
        <v>1.00562893071098E-6</v>
      </c>
      <c r="Y62" s="606">
        <v>1.59598919027135E-5</v>
      </c>
      <c r="Z62" s="606">
        <v>4.9268186303676598E-5</v>
      </c>
      <c r="AA62" s="606">
        <v>6.6233707137101195E-5</v>
      </c>
      <c r="AB62" s="606">
        <v>1.23004281365515</v>
      </c>
      <c r="AC62" s="606">
        <v>0</v>
      </c>
      <c r="AD62" s="606">
        <v>5.5691202843721199E-3</v>
      </c>
      <c r="AE62" s="606">
        <v>1.23561193393952</v>
      </c>
      <c r="AF62" s="606">
        <v>5.6933873598735098E-5</v>
      </c>
      <c r="AG62" s="606">
        <v>0</v>
      </c>
      <c r="AH62" s="606">
        <v>4.0318498144114097E-8</v>
      </c>
      <c r="AI62" s="606">
        <v>5.6974192096879202E-5</v>
      </c>
      <c r="AJ62" s="606">
        <v>1.06772349026319E-4</v>
      </c>
      <c r="AK62" s="606">
        <v>0</v>
      </c>
      <c r="AL62" s="606">
        <v>1.6064102841717E-6</v>
      </c>
      <c r="AM62" s="606">
        <v>1.0837875931049E-4</v>
      </c>
      <c r="AN62" s="606">
        <v>2.51886645048205E-4</v>
      </c>
      <c r="AO62" s="606">
        <v>0</v>
      </c>
      <c r="AP62" s="606">
        <v>2.08329848210393E-7</v>
      </c>
      <c r="AQ62" s="606">
        <v>2.52094974896416E-4</v>
      </c>
      <c r="AR62" s="606">
        <v>1.40330446786171E-7</v>
      </c>
      <c r="AS62" s="606">
        <v>7.3390704852816801E-6</v>
      </c>
      <c r="AT62" s="606">
        <v>3.76463326795135E-5</v>
      </c>
      <c r="AU62" s="606">
        <v>1.0955876689427401E-7</v>
      </c>
      <c r="AV62" s="606">
        <v>2.9733026727489102E-4</v>
      </c>
      <c r="AW62" s="606">
        <v>3.6755240117132201E-4</v>
      </c>
      <c r="AX62" s="606">
        <v>0</v>
      </c>
      <c r="AY62" s="606">
        <v>2.2809496085320601E-7</v>
      </c>
      <c r="AZ62" s="606">
        <v>3.6778049613217501E-4</v>
      </c>
      <c r="BA62" s="606">
        <v>1.40330446786171E-7</v>
      </c>
      <c r="BB62" s="606">
        <v>7.3390704852786596E-6</v>
      </c>
      <c r="BC62" s="606">
        <v>3.7646332679498002E-5</v>
      </c>
      <c r="BD62" s="606">
        <v>1.0955876689427401E-7</v>
      </c>
      <c r="BE62" s="606">
        <v>4.1301578851063198E-4</v>
      </c>
      <c r="BF62" s="606">
        <v>2.3703547685228699E-2</v>
      </c>
      <c r="BG62" s="606">
        <v>0</v>
      </c>
      <c r="BH62" s="606">
        <v>7.4373542048116598E-4</v>
      </c>
      <c r="BI62" s="606">
        <v>2.4447283105709899E-2</v>
      </c>
      <c r="BJ62" s="606">
        <v>1.21722707826499E-5</v>
      </c>
      <c r="BK62" s="606">
        <v>0</v>
      </c>
      <c r="BL62" s="606">
        <v>5.5110959854386503E-8</v>
      </c>
      <c r="BM62" s="606">
        <v>1.22273817425043E-5</v>
      </c>
      <c r="BN62" s="608">
        <v>0.13042279679744301</v>
      </c>
      <c r="BO62" s="602"/>
    </row>
    <row r="63" spans="1:67">
      <c r="A63" s="607" t="s">
        <v>76</v>
      </c>
      <c r="B63" s="606">
        <v>2040</v>
      </c>
      <c r="C63" s="606" t="s">
        <v>132</v>
      </c>
      <c r="D63" s="606" t="s">
        <v>586</v>
      </c>
      <c r="E63" s="606" t="s">
        <v>586</v>
      </c>
      <c r="F63" s="606" t="s">
        <v>569</v>
      </c>
      <c r="G63" s="606">
        <v>38.484320381778403</v>
      </c>
      <c r="H63" s="606">
        <v>932.341101401316</v>
      </c>
      <c r="I63" s="606">
        <v>153.93728152711299</v>
      </c>
      <c r="J63" s="606">
        <v>3.4708199224610999E-4</v>
      </c>
      <c r="K63" s="606">
        <v>0</v>
      </c>
      <c r="L63" s="606">
        <v>1.7183756739535099E-4</v>
      </c>
      <c r="M63" s="606">
        <v>5.1891955964146095E-4</v>
      </c>
      <c r="N63" s="606">
        <v>2.2395607237520399E-6</v>
      </c>
      <c r="O63" s="606">
        <v>0</v>
      </c>
      <c r="P63" s="606">
        <v>1.4222081878777499E-7</v>
      </c>
      <c r="Q63" s="606">
        <v>2.38178154253982E-6</v>
      </c>
      <c r="R63" s="606">
        <v>2.8464518594791002E-6</v>
      </c>
      <c r="S63" s="606">
        <v>5.3232938381718901E-5</v>
      </c>
      <c r="T63" s="606">
        <v>5.8461171783737898E-5</v>
      </c>
      <c r="U63" s="606">
        <v>2.4357266265624401E-6</v>
      </c>
      <c r="V63" s="606">
        <v>0</v>
      </c>
      <c r="W63" s="606">
        <v>1.5467811678378399E-7</v>
      </c>
      <c r="X63" s="606">
        <v>2.59040474334623E-6</v>
      </c>
      <c r="Y63" s="606">
        <v>1.1385807437916401E-5</v>
      </c>
      <c r="Z63" s="606">
        <v>1.24210189557344E-4</v>
      </c>
      <c r="AA63" s="606">
        <v>1.38186401738606E-4</v>
      </c>
      <c r="AB63" s="606">
        <v>1.5886918735856801</v>
      </c>
      <c r="AC63" s="606">
        <v>0</v>
      </c>
      <c r="AD63" s="606">
        <v>1.2716660064026599E-2</v>
      </c>
      <c r="AE63" s="606">
        <v>1.6014085336496999</v>
      </c>
      <c r="AF63" s="606">
        <v>5.12515759061993E-6</v>
      </c>
      <c r="AG63" s="606">
        <v>0</v>
      </c>
      <c r="AH63" s="606">
        <v>2.0819633508440298E-5</v>
      </c>
      <c r="AI63" s="606">
        <v>2.5944791099060301E-5</v>
      </c>
      <c r="AJ63" s="606">
        <v>2.50894206183965E-5</v>
      </c>
      <c r="AK63" s="606">
        <v>0</v>
      </c>
      <c r="AL63" s="606">
        <v>1.23137079225938E-5</v>
      </c>
      <c r="AM63" s="606">
        <v>3.74031285409904E-5</v>
      </c>
      <c r="AN63" s="606">
        <v>1.9137094222452499E-5</v>
      </c>
      <c r="AO63" s="606">
        <v>0</v>
      </c>
      <c r="AP63" s="606">
        <v>1.04502770321402E-4</v>
      </c>
      <c r="AQ63" s="606">
        <v>1.23639864543854E-4</v>
      </c>
      <c r="AR63" s="606">
        <v>1.0960906620789E-6</v>
      </c>
      <c r="AS63" s="606">
        <v>2.0193072882826799E-5</v>
      </c>
      <c r="AT63" s="606">
        <v>1.3754885217939999E-4</v>
      </c>
      <c r="AU63" s="606">
        <v>8.5442543260563095E-7</v>
      </c>
      <c r="AV63" s="606">
        <v>2.8333230570076599E-4</v>
      </c>
      <c r="AW63" s="606">
        <v>2.7924802966660399E-5</v>
      </c>
      <c r="AX63" s="606">
        <v>0</v>
      </c>
      <c r="AY63" s="606">
        <v>1.144173795079E-4</v>
      </c>
      <c r="AZ63" s="606">
        <v>1.4234218247456001E-4</v>
      </c>
      <c r="BA63" s="606">
        <v>1.0960906620789E-6</v>
      </c>
      <c r="BB63" s="606">
        <v>2.0193072882818498E-5</v>
      </c>
      <c r="BC63" s="606">
        <v>1.3754885217934299E-4</v>
      </c>
      <c r="BD63" s="606">
        <v>8.5442543260563095E-7</v>
      </c>
      <c r="BE63" s="606">
        <v>3.02034623631407E-4</v>
      </c>
      <c r="BF63" s="606">
        <v>4.0750275904295502E-4</v>
      </c>
      <c r="BG63" s="606">
        <v>0</v>
      </c>
      <c r="BH63" s="606">
        <v>1.39812088463229E-3</v>
      </c>
      <c r="BI63" s="606">
        <v>1.80562364367524E-3</v>
      </c>
      <c r="BJ63" s="606">
        <v>1.5721393971658801E-5</v>
      </c>
      <c r="BK63" s="606">
        <v>0</v>
      </c>
      <c r="BL63" s="606">
        <v>1.25841660169756E-7</v>
      </c>
      <c r="BM63" s="606">
        <v>1.5847235631828501E-5</v>
      </c>
      <c r="BN63" s="608">
        <v>0.16903379939685001</v>
      </c>
      <c r="BO63" s="602"/>
    </row>
    <row r="64" spans="1:67">
      <c r="A64" s="607" t="s">
        <v>76</v>
      </c>
      <c r="B64" s="606">
        <v>2040</v>
      </c>
      <c r="C64" s="606" t="s">
        <v>150</v>
      </c>
      <c r="D64" s="606" t="s">
        <v>586</v>
      </c>
      <c r="E64" s="606" t="s">
        <v>586</v>
      </c>
      <c r="F64" s="606" t="s">
        <v>11</v>
      </c>
      <c r="G64" s="606">
        <v>221.01586780757799</v>
      </c>
      <c r="H64" s="606">
        <v>9010.3547468110592</v>
      </c>
      <c r="I64" s="606">
        <v>861.96188444955601</v>
      </c>
      <c r="J64" s="606">
        <v>4.2486240893023601E-3</v>
      </c>
      <c r="K64" s="606">
        <v>4.4292585099064297E-3</v>
      </c>
      <c r="L64" s="606">
        <v>0</v>
      </c>
      <c r="M64" s="606">
        <v>8.6778825992087898E-3</v>
      </c>
      <c r="N64" s="606">
        <v>2.8338411650866801E-5</v>
      </c>
      <c r="O64" s="606">
        <v>1.9651629670192699E-6</v>
      </c>
      <c r="P64" s="606">
        <v>0</v>
      </c>
      <c r="Q64" s="606">
        <v>3.0303574617886101E-5</v>
      </c>
      <c r="R64" s="606">
        <v>8.9389943575659699E-5</v>
      </c>
      <c r="S64" s="606">
        <v>2.6280643411243901E-4</v>
      </c>
      <c r="T64" s="606">
        <v>3.82499952305985E-4</v>
      </c>
      <c r="U64" s="606">
        <v>2.9619748875879699E-5</v>
      </c>
      <c r="V64" s="606">
        <v>2.0540189161063701E-6</v>
      </c>
      <c r="W64" s="606">
        <v>0</v>
      </c>
      <c r="X64" s="606">
        <v>3.1673767791986097E-5</v>
      </c>
      <c r="Y64" s="606">
        <v>3.5755977430263901E-4</v>
      </c>
      <c r="Z64" s="606">
        <v>6.13215012929025E-4</v>
      </c>
      <c r="AA64" s="606">
        <v>1.0024485550236501E-3</v>
      </c>
      <c r="AB64" s="606">
        <v>24.819812726163601</v>
      </c>
      <c r="AC64" s="606">
        <v>0.76740188296397205</v>
      </c>
      <c r="AD64" s="606">
        <v>0</v>
      </c>
      <c r="AE64" s="606">
        <v>25.587214609127599</v>
      </c>
      <c r="AF64" s="606">
        <v>3.0593841009688299E-2</v>
      </c>
      <c r="AG64" s="606">
        <v>2.8381910900440998E-4</v>
      </c>
      <c r="AH64" s="606">
        <v>0</v>
      </c>
      <c r="AI64" s="606">
        <v>3.0877660118692699E-2</v>
      </c>
      <c r="AJ64" s="606">
        <v>5.0596811891954396E-3</v>
      </c>
      <c r="AK64" s="606">
        <v>1.5643989399214599E-4</v>
      </c>
      <c r="AL64" s="606">
        <v>0</v>
      </c>
      <c r="AM64" s="606">
        <v>5.2161210831875903E-3</v>
      </c>
      <c r="AN64" s="606">
        <v>5.2691390546134496E-4</v>
      </c>
      <c r="AO64" s="606">
        <v>4.5789398911431201E-6</v>
      </c>
      <c r="AP64" s="606">
        <v>0</v>
      </c>
      <c r="AQ64" s="606">
        <v>5.3149284535248804E-4</v>
      </c>
      <c r="AR64" s="606">
        <v>0</v>
      </c>
      <c r="AS64" s="606">
        <v>0</v>
      </c>
      <c r="AT64" s="606">
        <v>0</v>
      </c>
      <c r="AU64" s="606">
        <v>0</v>
      </c>
      <c r="AV64" s="606">
        <v>5.3149284535248804E-4</v>
      </c>
      <c r="AW64" s="606">
        <v>3.1325561762667598E-2</v>
      </c>
      <c r="AX64" s="606">
        <v>2.9025494009176901E-4</v>
      </c>
      <c r="AY64" s="606">
        <v>0</v>
      </c>
      <c r="AZ64" s="606">
        <v>3.1615816702759397E-2</v>
      </c>
      <c r="BA64" s="606">
        <v>0</v>
      </c>
      <c r="BB64" s="606">
        <v>0</v>
      </c>
      <c r="BC64" s="606">
        <v>0</v>
      </c>
      <c r="BD64" s="606">
        <v>0</v>
      </c>
      <c r="BE64" s="606">
        <v>3.1615816702759397E-2</v>
      </c>
      <c r="BF64" s="606">
        <v>0.111024842128102</v>
      </c>
      <c r="BG64" s="606">
        <v>5.3132625591053497E-3</v>
      </c>
      <c r="BH64" s="606">
        <v>0</v>
      </c>
      <c r="BI64" s="606">
        <v>0.116338104687207</v>
      </c>
      <c r="BJ64" s="606">
        <v>0</v>
      </c>
      <c r="BK64" s="606">
        <v>0</v>
      </c>
      <c r="BL64" s="606">
        <v>0</v>
      </c>
      <c r="BM64" s="606">
        <v>0</v>
      </c>
      <c r="BN64" s="608">
        <v>2.9574917530321998</v>
      </c>
      <c r="BO64" s="602"/>
    </row>
    <row r="65" spans="1:69" ht="14.5" thickBot="1">
      <c r="A65" s="609" t="s">
        <v>76</v>
      </c>
      <c r="B65" s="610">
        <v>2040</v>
      </c>
      <c r="C65" s="610" t="s">
        <v>132</v>
      </c>
      <c r="D65" s="610" t="s">
        <v>586</v>
      </c>
      <c r="E65" s="610" t="s">
        <v>586</v>
      </c>
      <c r="F65" s="610" t="s">
        <v>11</v>
      </c>
      <c r="G65" s="610">
        <v>99.9240427487467</v>
      </c>
      <c r="H65" s="610">
        <v>7832.70222454948</v>
      </c>
      <c r="I65" s="610">
        <v>399.69617099498703</v>
      </c>
      <c r="J65" s="610">
        <v>4.0733328484452002E-3</v>
      </c>
      <c r="K65" s="610">
        <v>0</v>
      </c>
      <c r="L65" s="610">
        <v>0</v>
      </c>
      <c r="M65" s="610">
        <v>4.0733328484452002E-3</v>
      </c>
      <c r="N65" s="610">
        <v>2.65788278480823E-5</v>
      </c>
      <c r="O65" s="610">
        <v>0</v>
      </c>
      <c r="P65" s="610">
        <v>0</v>
      </c>
      <c r="Q65" s="610">
        <v>2.65788278480823E-5</v>
      </c>
      <c r="R65" s="610">
        <v>6.8840371100454794E-5</v>
      </c>
      <c r="S65" s="610">
        <v>2.7190279665883799E-4</v>
      </c>
      <c r="T65" s="610">
        <v>3.6732199560737501E-4</v>
      </c>
      <c r="U65" s="610">
        <v>2.7780604501570801E-5</v>
      </c>
      <c r="V65" s="610">
        <v>0</v>
      </c>
      <c r="W65" s="610">
        <v>0</v>
      </c>
      <c r="X65" s="610">
        <v>2.7780604501570801E-5</v>
      </c>
      <c r="Y65" s="610">
        <v>2.7536148440181901E-4</v>
      </c>
      <c r="Z65" s="610">
        <v>6.3443985887062196E-4</v>
      </c>
      <c r="AA65" s="610">
        <v>9.3758194777401297E-4</v>
      </c>
      <c r="AB65" s="610">
        <v>16.878724487342499</v>
      </c>
      <c r="AC65" s="610">
        <v>0</v>
      </c>
      <c r="AD65" s="610">
        <v>0</v>
      </c>
      <c r="AE65" s="610">
        <v>16.878724487342499</v>
      </c>
      <c r="AF65" s="610">
        <v>5.2822486090953497E-2</v>
      </c>
      <c r="AG65" s="610">
        <v>0</v>
      </c>
      <c r="AH65" s="610">
        <v>0</v>
      </c>
      <c r="AI65" s="610">
        <v>5.2822486090953497E-2</v>
      </c>
      <c r="AJ65" s="610">
        <v>3.4408384031114898E-3</v>
      </c>
      <c r="AK65" s="610">
        <v>0</v>
      </c>
      <c r="AL65" s="610">
        <v>0</v>
      </c>
      <c r="AM65" s="610">
        <v>3.4408384031114898E-3</v>
      </c>
      <c r="AN65" s="610">
        <v>7.5472910032246495E-4</v>
      </c>
      <c r="AO65" s="610">
        <v>0</v>
      </c>
      <c r="AP65" s="610">
        <v>0</v>
      </c>
      <c r="AQ65" s="610">
        <v>7.5472910032246495E-4</v>
      </c>
      <c r="AR65" s="610">
        <v>0</v>
      </c>
      <c r="AS65" s="610">
        <v>0</v>
      </c>
      <c r="AT65" s="610">
        <v>0</v>
      </c>
      <c r="AU65" s="610">
        <v>0</v>
      </c>
      <c r="AV65" s="610">
        <v>7.5472910032246495E-4</v>
      </c>
      <c r="AW65" s="610">
        <v>5.3909221451604698E-2</v>
      </c>
      <c r="AX65" s="610">
        <v>0</v>
      </c>
      <c r="AY65" s="610">
        <v>0</v>
      </c>
      <c r="AZ65" s="610">
        <v>5.3909221451604698E-2</v>
      </c>
      <c r="BA65" s="610">
        <v>0</v>
      </c>
      <c r="BB65" s="610">
        <v>0</v>
      </c>
      <c r="BC65" s="610">
        <v>0</v>
      </c>
      <c r="BD65" s="610">
        <v>0</v>
      </c>
      <c r="BE65" s="610">
        <v>5.3909221451604698E-2</v>
      </c>
      <c r="BF65" s="610">
        <v>0.40814319160706902</v>
      </c>
      <c r="BG65" s="610">
        <v>0</v>
      </c>
      <c r="BH65" s="610">
        <v>0</v>
      </c>
      <c r="BI65" s="610">
        <v>0.40814319160706902</v>
      </c>
      <c r="BJ65" s="610">
        <v>0</v>
      </c>
      <c r="BK65" s="610">
        <v>0</v>
      </c>
      <c r="BL65" s="610">
        <v>0</v>
      </c>
      <c r="BM65" s="610">
        <v>0</v>
      </c>
      <c r="BN65" s="611">
        <v>1.9509231167041901</v>
      </c>
      <c r="BO65" s="602"/>
    </row>
    <row r="66" spans="1:69" ht="14.5" thickBot="1">
      <c r="A66" s="604"/>
      <c r="B66" s="604"/>
      <c r="C66" s="604"/>
      <c r="D66" s="604"/>
      <c r="E66" s="604"/>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3"/>
      <c r="AP66" s="613"/>
      <c r="AQ66" s="613"/>
      <c r="AR66" s="613"/>
      <c r="AS66" s="613"/>
      <c r="AT66" s="613"/>
      <c r="AU66" s="613"/>
      <c r="AV66" s="613"/>
      <c r="AW66" s="613"/>
      <c r="AX66" s="613"/>
      <c r="AY66" s="613"/>
      <c r="AZ66" s="613"/>
      <c r="BA66" s="613"/>
      <c r="BB66" s="613"/>
      <c r="BC66" s="613"/>
      <c r="BD66" s="613"/>
      <c r="BE66" s="613"/>
      <c r="BF66" s="613"/>
      <c r="BG66" s="613"/>
      <c r="BH66" s="613"/>
      <c r="BI66" s="613"/>
      <c r="BJ66" s="613"/>
      <c r="BK66" s="613"/>
      <c r="BL66" s="613"/>
      <c r="BM66" s="613"/>
      <c r="BN66" s="613"/>
      <c r="BO66" s="603"/>
      <c r="BP66" s="603"/>
    </row>
    <row r="67" spans="1:69" ht="15.75" customHeight="1">
      <c r="E67" s="612"/>
      <c r="F67" s="1310" t="s">
        <v>282</v>
      </c>
      <c r="G67" s="1311"/>
      <c r="H67" s="1311"/>
      <c r="I67" s="1311"/>
      <c r="J67" s="1311"/>
      <c r="K67" s="1311"/>
      <c r="L67" s="1311"/>
      <c r="M67" s="1311"/>
      <c r="N67" s="1311"/>
      <c r="O67" s="1311"/>
      <c r="P67" s="1311"/>
      <c r="Q67" s="1311"/>
      <c r="R67" s="1311"/>
      <c r="S67" s="1311"/>
      <c r="T67" s="1311"/>
      <c r="U67" s="1311"/>
      <c r="V67" s="1311"/>
      <c r="W67" s="1311"/>
      <c r="X67" s="1311"/>
      <c r="Y67" s="1311"/>
      <c r="Z67" s="1311"/>
      <c r="AA67" s="1311"/>
      <c r="AB67" s="1311"/>
      <c r="AC67" s="1311"/>
      <c r="AD67" s="1311"/>
      <c r="AE67" s="1311"/>
      <c r="AF67" s="1311"/>
      <c r="AG67" s="1311"/>
      <c r="AH67" s="1311"/>
      <c r="AI67" s="1311"/>
      <c r="AJ67" s="1311"/>
      <c r="AK67" s="1311"/>
      <c r="AL67" s="1311"/>
      <c r="AM67" s="1311"/>
      <c r="AN67" s="1311"/>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2"/>
      <c r="BQ67" s="602"/>
    </row>
    <row r="68" spans="1:69">
      <c r="E68" s="612"/>
      <c r="F68" s="621" t="s">
        <v>129</v>
      </c>
      <c r="G68" s="523"/>
      <c r="H68" s="627" t="s">
        <v>128</v>
      </c>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627"/>
      <c r="BC68" s="627"/>
      <c r="BD68" s="627"/>
      <c r="BE68" s="627"/>
      <c r="BF68" s="627"/>
      <c r="BG68" s="627"/>
      <c r="BH68" s="627"/>
      <c r="BI68" s="627" t="s">
        <v>127</v>
      </c>
      <c r="BJ68" s="627" t="s">
        <v>126</v>
      </c>
      <c r="BK68" s="627" t="s">
        <v>235</v>
      </c>
      <c r="BL68" s="606"/>
      <c r="BM68" s="606"/>
      <c r="BN68" s="627" t="s">
        <v>127</v>
      </c>
      <c r="BO68" s="628" t="s">
        <v>126</v>
      </c>
      <c r="BP68" s="631" t="s">
        <v>235</v>
      </c>
      <c r="BQ68" s="602"/>
    </row>
    <row r="69" spans="1:69">
      <c r="E69" s="612"/>
      <c r="F69" s="621" t="s">
        <v>125</v>
      </c>
      <c r="G69" s="523"/>
      <c r="H69" s="622">
        <f>SUM(H10:H46)</f>
        <v>1440059.1156630781</v>
      </c>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526"/>
      <c r="BG69" s="526"/>
      <c r="BH69" s="526"/>
      <c r="BI69" s="526">
        <f>SUM(BF15:BF51)*1000</f>
        <v>3345.526882030138</v>
      </c>
      <c r="BJ69" s="623">
        <f>H69/BI69</f>
        <v>430.44314586084545</v>
      </c>
      <c r="BK69" s="629">
        <f>H69/SUM(H69:H70)</f>
        <v>6.9992863245504147E-2</v>
      </c>
      <c r="BL69" s="606"/>
      <c r="BM69" s="606"/>
      <c r="BN69" s="526">
        <f>SUM(BN10:BN46)*1000</f>
        <v>90487.887732339354</v>
      </c>
      <c r="BO69" s="625">
        <f>H69/BN69</f>
        <v>15.914385358654108</v>
      </c>
      <c r="BP69" s="624">
        <f>H69/$H$72</f>
        <v>6.9992863245504147E-2</v>
      </c>
      <c r="BQ69" s="602"/>
    </row>
    <row r="70" spans="1:69">
      <c r="E70" s="612"/>
      <c r="F70" s="621" t="s">
        <v>124</v>
      </c>
      <c r="G70" s="523"/>
      <c r="H70" s="526">
        <f>SUM(H47:H65)</f>
        <v>19134311.597133525</v>
      </c>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526"/>
      <c r="BG70" s="526"/>
      <c r="BH70" s="526"/>
      <c r="BI70" s="526">
        <f>SUM(BF52:BF65)*1000</f>
        <v>8512.6641101045643</v>
      </c>
      <c r="BJ70" s="623">
        <f>H70/BI70</f>
        <v>2247.7465749436801</v>
      </c>
      <c r="BK70" s="629">
        <f>H70/SUM(H69:H70)</f>
        <v>0.93000713675449587</v>
      </c>
      <c r="BL70" s="606"/>
      <c r="BM70" s="606"/>
      <c r="BN70" s="526">
        <f>SUM(BN47:BN65)*1000</f>
        <v>526615.24875032855</v>
      </c>
      <c r="BO70" s="625">
        <f>H70/BN70</f>
        <v>36.334518688054963</v>
      </c>
      <c r="BP70" s="624">
        <f t="shared" ref="BP70:BP71" si="0">H70/$H$72</f>
        <v>0.93000713675449587</v>
      </c>
      <c r="BQ70" s="602"/>
    </row>
    <row r="71" spans="1:69" ht="14.5" thickBot="1">
      <c r="E71" s="612"/>
      <c r="F71" s="621" t="s">
        <v>234</v>
      </c>
      <c r="G71" s="523"/>
      <c r="H71" s="526">
        <f>SUM(H47:H50)</f>
        <v>926153.49253975262</v>
      </c>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6"/>
      <c r="AX71" s="526"/>
      <c r="AY71" s="526"/>
      <c r="AZ71" s="526"/>
      <c r="BA71" s="526"/>
      <c r="BB71" s="526"/>
      <c r="BC71" s="526"/>
      <c r="BD71" s="526"/>
      <c r="BE71" s="526"/>
      <c r="BF71" s="526"/>
      <c r="BG71" s="526"/>
      <c r="BH71" s="526"/>
      <c r="BI71" s="526" t="s">
        <v>27</v>
      </c>
      <c r="BJ71" s="623" t="s">
        <v>27</v>
      </c>
      <c r="BK71" s="629">
        <f>H71/SUM(H69:H70)</f>
        <v>4.5014912264787509E-2</v>
      </c>
      <c r="BL71" s="606"/>
      <c r="BM71" s="606"/>
      <c r="BN71" s="626" t="s">
        <v>27</v>
      </c>
      <c r="BO71" s="634" t="s">
        <v>27</v>
      </c>
      <c r="BP71" s="624">
        <f t="shared" si="0"/>
        <v>4.5014912264787509E-2</v>
      </c>
      <c r="BQ71" s="602"/>
    </row>
    <row r="72" spans="1:69" ht="14.5" thickBot="1">
      <c r="E72" s="612"/>
      <c r="F72" s="632" t="s">
        <v>265</v>
      </c>
      <c r="G72" s="525"/>
      <c r="H72" s="527">
        <f>SUM(H69:H70)</f>
        <v>20574370.712796602</v>
      </c>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33"/>
      <c r="BN72" s="614"/>
      <c r="BO72" s="635"/>
      <c r="BP72" s="636"/>
      <c r="BQ72" s="605"/>
    </row>
    <row r="73" spans="1:69" s="604" customFormat="1">
      <c r="BN73" s="601"/>
      <c r="BP73" s="601"/>
    </row>
  </sheetData>
  <autoFilter ref="A9:BN65" xr:uid="{19A0624B-C105-450F-9A55-8E574D095F6F}">
    <sortState xmlns:xlrd2="http://schemas.microsoft.com/office/spreadsheetml/2017/richdata2" ref="A10:BR65">
      <sortCondition ref="F9:F65"/>
    </sortState>
  </autoFilter>
  <mergeCells count="1">
    <mergeCell ref="F67:BP67"/>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0A71-D065-4284-AF35-01D743CE1AA0}">
  <sheetPr>
    <tabColor theme="0" tint="-0.34998626667073579"/>
  </sheetPr>
  <dimension ref="A1:BQ73"/>
  <sheetViews>
    <sheetView topLeftCell="A43" workbookViewId="0">
      <selection activeCell="BN70" sqref="BN70"/>
    </sheetView>
  </sheetViews>
  <sheetFormatPr defaultColWidth="9.08203125" defaultRowHeight="14"/>
  <cols>
    <col min="1" max="3" width="9.08203125" style="601"/>
    <col min="4" max="4" width="0" style="601" hidden="1" customWidth="1"/>
    <col min="5" max="5" width="9.9140625" style="601" hidden="1" customWidth="1"/>
    <col min="6" max="6" width="15.08203125" style="601" customWidth="1"/>
    <col min="7" max="7" width="9.08203125" style="601" customWidth="1"/>
    <col min="8" max="8" width="10.08203125" style="601" customWidth="1"/>
    <col min="9" max="57" width="9.08203125" style="601" hidden="1" customWidth="1"/>
    <col min="58" max="58" width="12.83203125" style="601" hidden="1" customWidth="1"/>
    <col min="59" max="59" width="11.9140625" style="601" hidden="1" customWidth="1"/>
    <col min="60" max="60" width="12.08203125" style="601" hidden="1" customWidth="1"/>
    <col min="61" max="65" width="9.08203125" style="601" hidden="1" customWidth="1"/>
    <col min="66" max="67" width="9.08203125" style="601"/>
    <col min="68" max="68" width="11.9140625" style="601" customWidth="1"/>
    <col min="69" max="16384" width="9.08203125" style="601"/>
  </cols>
  <sheetData>
    <row r="1" spans="1:67">
      <c r="A1" s="601" t="s">
        <v>566</v>
      </c>
    </row>
    <row r="2" spans="1:67">
      <c r="A2" s="601" t="s">
        <v>231</v>
      </c>
    </row>
    <row r="3" spans="1:67">
      <c r="A3" s="601" t="s">
        <v>567</v>
      </c>
    </row>
    <row r="4" spans="1:67">
      <c r="A4" s="601" t="s">
        <v>570</v>
      </c>
    </row>
    <row r="5" spans="1:67">
      <c r="A5" s="601" t="s">
        <v>230</v>
      </c>
    </row>
    <row r="6" spans="1:67">
      <c r="A6" s="601" t="s">
        <v>229</v>
      </c>
    </row>
    <row r="7" spans="1:67">
      <c r="A7" s="601" t="s">
        <v>228</v>
      </c>
    </row>
    <row r="8" spans="1:67" ht="14.5" thickBot="1">
      <c r="A8" s="603"/>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c r="BM8" s="603"/>
      <c r="BN8" s="603"/>
    </row>
    <row r="9" spans="1:67" ht="14.5" thickBot="1">
      <c r="A9" s="618" t="s">
        <v>227</v>
      </c>
      <c r="B9" s="619" t="s">
        <v>256</v>
      </c>
      <c r="C9" s="619" t="s">
        <v>257</v>
      </c>
      <c r="D9" s="619" t="s">
        <v>258</v>
      </c>
      <c r="E9" s="619" t="s">
        <v>226</v>
      </c>
      <c r="F9" s="619" t="s">
        <v>225</v>
      </c>
      <c r="G9" s="619" t="s">
        <v>224</v>
      </c>
      <c r="H9" s="619" t="s">
        <v>128</v>
      </c>
      <c r="I9" s="619" t="s">
        <v>223</v>
      </c>
      <c r="J9" s="619" t="s">
        <v>200</v>
      </c>
      <c r="K9" s="619" t="s">
        <v>199</v>
      </c>
      <c r="L9" s="619" t="s">
        <v>198</v>
      </c>
      <c r="M9" s="619" t="s">
        <v>197</v>
      </c>
      <c r="N9" s="619" t="s">
        <v>573</v>
      </c>
      <c r="O9" s="619" t="s">
        <v>574</v>
      </c>
      <c r="P9" s="619" t="s">
        <v>575</v>
      </c>
      <c r="Q9" s="619" t="s">
        <v>576</v>
      </c>
      <c r="R9" s="619" t="s">
        <v>577</v>
      </c>
      <c r="S9" s="619" t="s">
        <v>578</v>
      </c>
      <c r="T9" s="619" t="s">
        <v>579</v>
      </c>
      <c r="U9" s="619" t="s">
        <v>192</v>
      </c>
      <c r="V9" s="619" t="s">
        <v>191</v>
      </c>
      <c r="W9" s="619" t="s">
        <v>190</v>
      </c>
      <c r="X9" s="619" t="s">
        <v>189</v>
      </c>
      <c r="Y9" s="619" t="s">
        <v>188</v>
      </c>
      <c r="Z9" s="619" t="s">
        <v>187</v>
      </c>
      <c r="AA9" s="619" t="s">
        <v>186</v>
      </c>
      <c r="AB9" s="619" t="s">
        <v>196</v>
      </c>
      <c r="AC9" s="619" t="s">
        <v>195</v>
      </c>
      <c r="AD9" s="619" t="s">
        <v>194</v>
      </c>
      <c r="AE9" s="619" t="s">
        <v>193</v>
      </c>
      <c r="AF9" s="619" t="s">
        <v>486</v>
      </c>
      <c r="AG9" s="619" t="s">
        <v>487</v>
      </c>
      <c r="AH9" s="619" t="s">
        <v>488</v>
      </c>
      <c r="AI9" s="619" t="s">
        <v>489</v>
      </c>
      <c r="AJ9" s="619" t="s">
        <v>259</v>
      </c>
      <c r="AK9" s="619" t="s">
        <v>260</v>
      </c>
      <c r="AL9" s="619" t="s">
        <v>261</v>
      </c>
      <c r="AM9" s="619" t="s">
        <v>262</v>
      </c>
      <c r="AN9" s="619" t="s">
        <v>222</v>
      </c>
      <c r="AO9" s="619" t="s">
        <v>221</v>
      </c>
      <c r="AP9" s="619" t="s">
        <v>220</v>
      </c>
      <c r="AQ9" s="619" t="s">
        <v>219</v>
      </c>
      <c r="AR9" s="619" t="s">
        <v>218</v>
      </c>
      <c r="AS9" s="619" t="s">
        <v>580</v>
      </c>
      <c r="AT9" s="619" t="s">
        <v>581</v>
      </c>
      <c r="AU9" s="619" t="s">
        <v>582</v>
      </c>
      <c r="AV9" s="619" t="s">
        <v>214</v>
      </c>
      <c r="AW9" s="619" t="s">
        <v>213</v>
      </c>
      <c r="AX9" s="619" t="s">
        <v>212</v>
      </c>
      <c r="AY9" s="619" t="s">
        <v>211</v>
      </c>
      <c r="AZ9" s="619" t="s">
        <v>210</v>
      </c>
      <c r="BA9" s="619" t="s">
        <v>209</v>
      </c>
      <c r="BB9" s="619" t="s">
        <v>583</v>
      </c>
      <c r="BC9" s="619" t="s">
        <v>584</v>
      </c>
      <c r="BD9" s="619" t="s">
        <v>585</v>
      </c>
      <c r="BE9" s="619" t="s">
        <v>205</v>
      </c>
      <c r="BF9" s="619" t="s">
        <v>204</v>
      </c>
      <c r="BG9" s="619" t="s">
        <v>203</v>
      </c>
      <c r="BH9" s="619" t="s">
        <v>202</v>
      </c>
      <c r="BI9" s="619" t="s">
        <v>201</v>
      </c>
      <c r="BJ9" s="619" t="s">
        <v>178</v>
      </c>
      <c r="BK9" s="619" t="s">
        <v>177</v>
      </c>
      <c r="BL9" s="619" t="s">
        <v>176</v>
      </c>
      <c r="BM9" s="619" t="s">
        <v>175</v>
      </c>
      <c r="BN9" s="620" t="s">
        <v>263</v>
      </c>
      <c r="BO9" s="602"/>
    </row>
    <row r="10" spans="1:67">
      <c r="A10" s="615" t="s">
        <v>76</v>
      </c>
      <c r="B10" s="616">
        <v>2045</v>
      </c>
      <c r="C10" s="616" t="s">
        <v>174</v>
      </c>
      <c r="D10" s="616" t="s">
        <v>586</v>
      </c>
      <c r="E10" s="616" t="s">
        <v>586</v>
      </c>
      <c r="F10" s="616" t="s">
        <v>125</v>
      </c>
      <c r="G10" s="616">
        <v>659.87620797152601</v>
      </c>
      <c r="H10" s="616">
        <v>33508.887956688799</v>
      </c>
      <c r="I10" s="616">
        <v>5542.9601469608197</v>
      </c>
      <c r="J10" s="616">
        <v>7.6916776298127806E-2</v>
      </c>
      <c r="K10" s="616">
        <v>2.0770567072590398E-3</v>
      </c>
      <c r="L10" s="616">
        <v>1.3565757028733701E-2</v>
      </c>
      <c r="M10" s="616">
        <v>9.2559590034120495E-2</v>
      </c>
      <c r="N10" s="616">
        <v>1.9862395802683E-4</v>
      </c>
      <c r="O10" s="616">
        <v>4.9602067513368798E-7</v>
      </c>
      <c r="P10" s="616">
        <v>0</v>
      </c>
      <c r="Q10" s="616">
        <v>1.99119978701964E-4</v>
      </c>
      <c r="R10" s="616">
        <v>1.10811678633468E-4</v>
      </c>
      <c r="S10" s="616">
        <v>2.0633134561551798E-3</v>
      </c>
      <c r="T10" s="616">
        <v>2.3732451134906101E-3</v>
      </c>
      <c r="U10" s="616">
        <v>2.0760485202804299E-4</v>
      </c>
      <c r="V10" s="616">
        <v>5.1844852900408603E-7</v>
      </c>
      <c r="W10" s="616">
        <v>0</v>
      </c>
      <c r="X10" s="616">
        <v>2.08123300557047E-4</v>
      </c>
      <c r="Y10" s="616">
        <v>4.4324671453387299E-4</v>
      </c>
      <c r="Z10" s="616">
        <v>4.8143980643620904E-3</v>
      </c>
      <c r="AA10" s="616">
        <v>5.4657680794530103E-3</v>
      </c>
      <c r="AB10" s="616">
        <v>33.282431365531302</v>
      </c>
      <c r="AC10" s="616">
        <v>0.39189094252488399</v>
      </c>
      <c r="AD10" s="616">
        <v>0</v>
      </c>
      <c r="AE10" s="616">
        <v>33.674322308056198</v>
      </c>
      <c r="AF10" s="616">
        <v>1.8403130658238301E-5</v>
      </c>
      <c r="AG10" s="616">
        <v>1.66669626924599E-6</v>
      </c>
      <c r="AH10" s="616">
        <v>0</v>
      </c>
      <c r="AI10" s="616">
        <v>2.0069826927484299E-5</v>
      </c>
      <c r="AJ10" s="616">
        <v>5.2315347255154996E-3</v>
      </c>
      <c r="AK10" s="616">
        <v>6.1599798762213996E-5</v>
      </c>
      <c r="AL10" s="616">
        <v>0</v>
      </c>
      <c r="AM10" s="616">
        <v>5.2931345242777103E-3</v>
      </c>
      <c r="AN10" s="616">
        <v>3.9621435653241198E-4</v>
      </c>
      <c r="AO10" s="616">
        <v>3.5883513632429302E-5</v>
      </c>
      <c r="AP10" s="616">
        <v>0</v>
      </c>
      <c r="AQ10" s="616">
        <v>4.32097870164841E-4</v>
      </c>
      <c r="AR10" s="616">
        <v>0</v>
      </c>
      <c r="AS10" s="616">
        <v>0</v>
      </c>
      <c r="AT10" s="616">
        <v>0</v>
      </c>
      <c r="AU10" s="616">
        <v>0</v>
      </c>
      <c r="AV10" s="616">
        <v>4.32097870164841E-4</v>
      </c>
      <c r="AW10" s="616">
        <v>4.51059884564733E-4</v>
      </c>
      <c r="AX10" s="616">
        <v>4.0850648771220303E-5</v>
      </c>
      <c r="AY10" s="616">
        <v>0</v>
      </c>
      <c r="AZ10" s="616">
        <v>4.9191053333595398E-4</v>
      </c>
      <c r="BA10" s="616">
        <v>0</v>
      </c>
      <c r="BB10" s="616">
        <v>0</v>
      </c>
      <c r="BC10" s="616">
        <v>0</v>
      </c>
      <c r="BD10" s="616">
        <v>0</v>
      </c>
      <c r="BE10" s="616">
        <v>4.9191053333595398E-4</v>
      </c>
      <c r="BF10" s="616">
        <v>5.1091309431214099E-3</v>
      </c>
      <c r="BG10" s="616">
        <v>1.5194818768732401E-3</v>
      </c>
      <c r="BH10" s="616">
        <v>0</v>
      </c>
      <c r="BI10" s="616">
        <v>6.6286128199946597E-3</v>
      </c>
      <c r="BJ10" s="616">
        <v>3.1443590859481999E-4</v>
      </c>
      <c r="BK10" s="616">
        <v>3.7023913075806401E-6</v>
      </c>
      <c r="BL10" s="616">
        <v>0</v>
      </c>
      <c r="BM10" s="616">
        <v>3.1813829990240102E-4</v>
      </c>
      <c r="BN10" s="617">
        <v>3.0011576521293</v>
      </c>
      <c r="BO10" s="602"/>
    </row>
    <row r="11" spans="1:67">
      <c r="A11" s="607" t="s">
        <v>76</v>
      </c>
      <c r="B11" s="606">
        <v>2045</v>
      </c>
      <c r="C11" s="606" t="s">
        <v>144</v>
      </c>
      <c r="D11" s="606" t="s">
        <v>586</v>
      </c>
      <c r="E11" s="606" t="s">
        <v>586</v>
      </c>
      <c r="F11" s="606" t="s">
        <v>125</v>
      </c>
      <c r="G11" s="606">
        <v>4502.1944817715603</v>
      </c>
      <c r="H11" s="606">
        <v>101053.72437570601</v>
      </c>
      <c r="I11" s="606">
        <v>21308.025621444998</v>
      </c>
      <c r="J11" s="606">
        <v>8.3884472989803095E-4</v>
      </c>
      <c r="K11" s="606">
        <v>0</v>
      </c>
      <c r="L11" s="606">
        <v>0</v>
      </c>
      <c r="M11" s="606">
        <v>8.3884472989803095E-4</v>
      </c>
      <c r="N11" s="606">
        <v>7.2744856736681198E-5</v>
      </c>
      <c r="O11" s="606">
        <v>0</v>
      </c>
      <c r="P11" s="606">
        <v>0</v>
      </c>
      <c r="Q11" s="606">
        <v>7.2744856736681198E-5</v>
      </c>
      <c r="R11" s="606">
        <v>2.2278532678075301E-4</v>
      </c>
      <c r="S11" s="606">
        <v>1.75443444839843E-3</v>
      </c>
      <c r="T11" s="606">
        <v>2.04996463191586E-3</v>
      </c>
      <c r="U11" s="606">
        <v>7.6034056357792996E-5</v>
      </c>
      <c r="V11" s="606">
        <v>0</v>
      </c>
      <c r="W11" s="606">
        <v>0</v>
      </c>
      <c r="X11" s="606">
        <v>7.6034056357792996E-5</v>
      </c>
      <c r="Y11" s="606">
        <v>8.91141307123014E-4</v>
      </c>
      <c r="Z11" s="606">
        <v>4.0936803795963402E-3</v>
      </c>
      <c r="AA11" s="606">
        <v>5.0608557430771497E-3</v>
      </c>
      <c r="AB11" s="606">
        <v>17.012211079023299</v>
      </c>
      <c r="AC11" s="606">
        <v>0</v>
      </c>
      <c r="AD11" s="606">
        <v>0</v>
      </c>
      <c r="AE11" s="606">
        <v>17.012211079023299</v>
      </c>
      <c r="AF11" s="606">
        <v>1.8700126153313301E-5</v>
      </c>
      <c r="AG11" s="606">
        <v>0</v>
      </c>
      <c r="AH11" s="606">
        <v>0</v>
      </c>
      <c r="AI11" s="606">
        <v>1.8700126153313301E-5</v>
      </c>
      <c r="AJ11" s="606">
        <v>2.67408267263437E-3</v>
      </c>
      <c r="AK11" s="606">
        <v>0</v>
      </c>
      <c r="AL11" s="606">
        <v>0</v>
      </c>
      <c r="AM11" s="606">
        <v>2.67408267263437E-3</v>
      </c>
      <c r="AN11" s="606">
        <v>4.0260270613891601E-4</v>
      </c>
      <c r="AO11" s="606">
        <v>0</v>
      </c>
      <c r="AP11" s="606">
        <v>0</v>
      </c>
      <c r="AQ11" s="606">
        <v>4.0260270613891601E-4</v>
      </c>
      <c r="AR11" s="606">
        <v>0</v>
      </c>
      <c r="AS11" s="606">
        <v>0</v>
      </c>
      <c r="AT11" s="606">
        <v>0</v>
      </c>
      <c r="AU11" s="606">
        <v>0</v>
      </c>
      <c r="AV11" s="606">
        <v>4.0260270613891601E-4</v>
      </c>
      <c r="AW11" s="606">
        <v>4.58336414092573E-4</v>
      </c>
      <c r="AX11" s="606">
        <v>0</v>
      </c>
      <c r="AY11" s="606">
        <v>0</v>
      </c>
      <c r="AZ11" s="606">
        <v>4.58336414092573E-4</v>
      </c>
      <c r="BA11" s="606">
        <v>0</v>
      </c>
      <c r="BB11" s="606">
        <v>0</v>
      </c>
      <c r="BC11" s="606">
        <v>0</v>
      </c>
      <c r="BD11" s="606">
        <v>0</v>
      </c>
      <c r="BE11" s="606">
        <v>4.58336414092573E-4</v>
      </c>
      <c r="BF11" s="606">
        <v>1.33026964155142E-2</v>
      </c>
      <c r="BG11" s="606">
        <v>0</v>
      </c>
      <c r="BH11" s="606">
        <v>0</v>
      </c>
      <c r="BI11" s="606">
        <v>1.33026964155142E-2</v>
      </c>
      <c r="BJ11" s="606">
        <v>1.60826574445736E-4</v>
      </c>
      <c r="BK11" s="606">
        <v>0</v>
      </c>
      <c r="BL11" s="606">
        <v>0</v>
      </c>
      <c r="BM11" s="606">
        <v>1.60826574445736E-4</v>
      </c>
      <c r="BN11" s="608">
        <v>1.51617980585863</v>
      </c>
      <c r="BO11" s="602"/>
    </row>
    <row r="12" spans="1:67">
      <c r="A12" s="607" t="s">
        <v>76</v>
      </c>
      <c r="B12" s="606">
        <v>2045</v>
      </c>
      <c r="C12" s="606" t="s">
        <v>143</v>
      </c>
      <c r="D12" s="606" t="s">
        <v>586</v>
      </c>
      <c r="E12" s="606" t="s">
        <v>586</v>
      </c>
      <c r="F12" s="606" t="s">
        <v>125</v>
      </c>
      <c r="G12" s="606">
        <v>10.8202637847152</v>
      </c>
      <c r="H12" s="606">
        <v>224.009913740846</v>
      </c>
      <c r="I12" s="606">
        <v>50.061088135953398</v>
      </c>
      <c r="J12" s="606">
        <v>7.2535524906755796E-6</v>
      </c>
      <c r="K12" s="606">
        <v>0</v>
      </c>
      <c r="L12" s="606">
        <v>0</v>
      </c>
      <c r="M12" s="606">
        <v>7.2535524906755796E-6</v>
      </c>
      <c r="N12" s="606">
        <v>9.9648179148259196E-7</v>
      </c>
      <c r="O12" s="606">
        <v>0</v>
      </c>
      <c r="P12" s="606">
        <v>0</v>
      </c>
      <c r="Q12" s="606">
        <v>9.9648179148259196E-7</v>
      </c>
      <c r="R12" s="606">
        <v>4.9385732335146301E-7</v>
      </c>
      <c r="S12" s="606">
        <v>3.8891264213927698E-6</v>
      </c>
      <c r="T12" s="606">
        <v>5.3794655362268196E-6</v>
      </c>
      <c r="U12" s="606">
        <v>1.0415382762709699E-6</v>
      </c>
      <c r="V12" s="606">
        <v>0</v>
      </c>
      <c r="W12" s="606">
        <v>0</v>
      </c>
      <c r="X12" s="606">
        <v>1.0415382762709699E-6</v>
      </c>
      <c r="Y12" s="606">
        <v>1.9754292934058499E-6</v>
      </c>
      <c r="Z12" s="606">
        <v>9.0746283165831306E-6</v>
      </c>
      <c r="AA12" s="606">
        <v>1.2091595886259899E-5</v>
      </c>
      <c r="AB12" s="606">
        <v>7.1415800758685893E-2</v>
      </c>
      <c r="AC12" s="606">
        <v>0</v>
      </c>
      <c r="AD12" s="606">
        <v>0</v>
      </c>
      <c r="AE12" s="606">
        <v>7.1415800758685893E-2</v>
      </c>
      <c r="AF12" s="606">
        <v>1.4488239863626299E-7</v>
      </c>
      <c r="AG12" s="606">
        <v>0</v>
      </c>
      <c r="AH12" s="606">
        <v>0</v>
      </c>
      <c r="AI12" s="606">
        <v>1.4488239863626299E-7</v>
      </c>
      <c r="AJ12" s="606">
        <v>1.12255693556839E-5</v>
      </c>
      <c r="AK12" s="606">
        <v>0</v>
      </c>
      <c r="AL12" s="606">
        <v>0</v>
      </c>
      <c r="AM12" s="606">
        <v>1.12255693556839E-5</v>
      </c>
      <c r="AN12" s="606">
        <v>3.11923274124658E-6</v>
      </c>
      <c r="AO12" s="606">
        <v>0</v>
      </c>
      <c r="AP12" s="606">
        <v>0</v>
      </c>
      <c r="AQ12" s="606">
        <v>3.11923274124658E-6</v>
      </c>
      <c r="AR12" s="606">
        <v>0</v>
      </c>
      <c r="AS12" s="606">
        <v>0</v>
      </c>
      <c r="AT12" s="606">
        <v>0</v>
      </c>
      <c r="AU12" s="606">
        <v>0</v>
      </c>
      <c r="AV12" s="606">
        <v>3.11923274124658E-6</v>
      </c>
      <c r="AW12" s="606">
        <v>3.5510390952260701E-6</v>
      </c>
      <c r="AX12" s="606">
        <v>0</v>
      </c>
      <c r="AY12" s="606">
        <v>0</v>
      </c>
      <c r="AZ12" s="606">
        <v>3.5510390952260701E-6</v>
      </c>
      <c r="BA12" s="606">
        <v>0</v>
      </c>
      <c r="BB12" s="606">
        <v>0</v>
      </c>
      <c r="BC12" s="606">
        <v>0</v>
      </c>
      <c r="BD12" s="606">
        <v>0</v>
      </c>
      <c r="BE12" s="606">
        <v>3.5510390952260701E-6</v>
      </c>
      <c r="BF12" s="606">
        <v>3.2897825657395E-5</v>
      </c>
      <c r="BG12" s="606">
        <v>0</v>
      </c>
      <c r="BH12" s="606">
        <v>0</v>
      </c>
      <c r="BI12" s="606">
        <v>3.2897825657395E-5</v>
      </c>
      <c r="BJ12" s="606">
        <v>6.75136144500391E-7</v>
      </c>
      <c r="BK12" s="606">
        <v>0</v>
      </c>
      <c r="BL12" s="606">
        <v>0</v>
      </c>
      <c r="BM12" s="606">
        <v>6.75136144500391E-7</v>
      </c>
      <c r="BN12" s="608">
        <v>6.3647925849600702E-3</v>
      </c>
      <c r="BO12" s="602"/>
    </row>
    <row r="13" spans="1:67">
      <c r="A13" s="607" t="s">
        <v>76</v>
      </c>
      <c r="B13" s="606">
        <v>2045</v>
      </c>
      <c r="C13" s="606" t="s">
        <v>142</v>
      </c>
      <c r="D13" s="606" t="s">
        <v>586</v>
      </c>
      <c r="E13" s="606" t="s">
        <v>586</v>
      </c>
      <c r="F13" s="606" t="s">
        <v>125</v>
      </c>
      <c r="G13" s="606">
        <v>2422.3565217067799</v>
      </c>
      <c r="H13" s="606">
        <v>51000.358082526698</v>
      </c>
      <c r="I13" s="606">
        <v>11283.155266301899</v>
      </c>
      <c r="J13" s="606">
        <v>1.5547910928531701E-3</v>
      </c>
      <c r="K13" s="606">
        <v>0</v>
      </c>
      <c r="L13" s="606">
        <v>0</v>
      </c>
      <c r="M13" s="606">
        <v>1.5547910928531701E-3</v>
      </c>
      <c r="N13" s="606">
        <v>2.2207452692534001E-4</v>
      </c>
      <c r="O13" s="606">
        <v>0</v>
      </c>
      <c r="P13" s="606">
        <v>0</v>
      </c>
      <c r="Q13" s="606">
        <v>2.2207452692534001E-4</v>
      </c>
      <c r="R13" s="606">
        <v>1.12436543151126E-4</v>
      </c>
      <c r="S13" s="606">
        <v>8.85437777315121E-4</v>
      </c>
      <c r="T13" s="606">
        <v>1.2199488473915801E-3</v>
      </c>
      <c r="U13" s="606">
        <v>2.3211575159178501E-4</v>
      </c>
      <c r="V13" s="606">
        <v>0</v>
      </c>
      <c r="W13" s="606">
        <v>0</v>
      </c>
      <c r="X13" s="606">
        <v>2.3211575159178501E-4</v>
      </c>
      <c r="Y13" s="606">
        <v>4.4974617260450599E-4</v>
      </c>
      <c r="Z13" s="606">
        <v>2.0660214804019499E-3</v>
      </c>
      <c r="AA13" s="606">
        <v>2.7478834045982399E-3</v>
      </c>
      <c r="AB13" s="606">
        <v>11.4008421242641</v>
      </c>
      <c r="AC13" s="606">
        <v>0</v>
      </c>
      <c r="AD13" s="606">
        <v>0</v>
      </c>
      <c r="AE13" s="606">
        <v>11.4008421242641</v>
      </c>
      <c r="AF13" s="606">
        <v>3.2676210412568598E-5</v>
      </c>
      <c r="AG13" s="606">
        <v>0</v>
      </c>
      <c r="AH13" s="606">
        <v>0</v>
      </c>
      <c r="AI13" s="606">
        <v>3.2676210412568598E-5</v>
      </c>
      <c r="AJ13" s="606">
        <v>1.7920536158598499E-3</v>
      </c>
      <c r="AK13" s="606">
        <v>0</v>
      </c>
      <c r="AL13" s="606">
        <v>0</v>
      </c>
      <c r="AM13" s="606">
        <v>1.7920536158598499E-3</v>
      </c>
      <c r="AN13" s="606">
        <v>7.0349957163972395E-4</v>
      </c>
      <c r="AO13" s="606">
        <v>0</v>
      </c>
      <c r="AP13" s="606">
        <v>0</v>
      </c>
      <c r="AQ13" s="606">
        <v>7.0349957163972395E-4</v>
      </c>
      <c r="AR13" s="606">
        <v>0</v>
      </c>
      <c r="AS13" s="606">
        <v>0</v>
      </c>
      <c r="AT13" s="606">
        <v>0</v>
      </c>
      <c r="AU13" s="606">
        <v>0</v>
      </c>
      <c r="AV13" s="606">
        <v>7.0349957163972395E-4</v>
      </c>
      <c r="AW13" s="606">
        <v>8.0088749048238205E-4</v>
      </c>
      <c r="AX13" s="606">
        <v>0</v>
      </c>
      <c r="AY13" s="606">
        <v>0</v>
      </c>
      <c r="AZ13" s="606">
        <v>8.0088749048238205E-4</v>
      </c>
      <c r="BA13" s="606">
        <v>0</v>
      </c>
      <c r="BB13" s="606">
        <v>0</v>
      </c>
      <c r="BC13" s="606">
        <v>0</v>
      </c>
      <c r="BD13" s="606">
        <v>0</v>
      </c>
      <c r="BE13" s="606">
        <v>8.0088749048238205E-4</v>
      </c>
      <c r="BF13" s="606">
        <v>7.3400065693457004E-3</v>
      </c>
      <c r="BG13" s="606">
        <v>0</v>
      </c>
      <c r="BH13" s="606">
        <v>0</v>
      </c>
      <c r="BI13" s="606">
        <v>7.3400065693457004E-3</v>
      </c>
      <c r="BJ13" s="606">
        <v>1.07778958074585E-4</v>
      </c>
      <c r="BK13" s="606">
        <v>0</v>
      </c>
      <c r="BL13" s="606">
        <v>0</v>
      </c>
      <c r="BM13" s="606">
        <v>1.07778958074585E-4</v>
      </c>
      <c r="BN13" s="608">
        <v>1.0160775996898901</v>
      </c>
      <c r="BO13" s="602"/>
    </row>
    <row r="14" spans="1:67">
      <c r="A14" s="607" t="s">
        <v>76</v>
      </c>
      <c r="B14" s="606">
        <v>2045</v>
      </c>
      <c r="C14" s="606" t="s">
        <v>141</v>
      </c>
      <c r="D14" s="606" t="s">
        <v>586</v>
      </c>
      <c r="E14" s="606" t="s">
        <v>586</v>
      </c>
      <c r="F14" s="606" t="s">
        <v>125</v>
      </c>
      <c r="G14" s="606">
        <v>14627.1197694685</v>
      </c>
      <c r="H14" s="606">
        <v>340774.50342053402</v>
      </c>
      <c r="I14" s="606">
        <v>183990.765783243</v>
      </c>
      <c r="J14" s="606">
        <v>3.1445145924682401E-2</v>
      </c>
      <c r="K14" s="606">
        <v>1.3495449278922499E-2</v>
      </c>
      <c r="L14" s="606">
        <v>0</v>
      </c>
      <c r="M14" s="606">
        <v>4.4940595203604897E-2</v>
      </c>
      <c r="N14" s="606">
        <v>2.57896899050404E-3</v>
      </c>
      <c r="O14" s="606">
        <v>4.2581973983950598E-4</v>
      </c>
      <c r="P14" s="606">
        <v>0</v>
      </c>
      <c r="Q14" s="606">
        <v>3.00478873034355E-3</v>
      </c>
      <c r="R14" s="606">
        <v>1.12691876878529E-3</v>
      </c>
      <c r="S14" s="606">
        <v>1.2305952955135299E-2</v>
      </c>
      <c r="T14" s="606">
        <v>1.6437660454264199E-2</v>
      </c>
      <c r="U14" s="606">
        <v>2.6955785242492301E-3</v>
      </c>
      <c r="V14" s="606">
        <v>4.4507341892793801E-4</v>
      </c>
      <c r="W14" s="606">
        <v>0</v>
      </c>
      <c r="X14" s="606">
        <v>3.14065194317717E-3</v>
      </c>
      <c r="Y14" s="606">
        <v>4.5076750751411598E-3</v>
      </c>
      <c r="Z14" s="606">
        <v>2.8713890228649199E-2</v>
      </c>
      <c r="AA14" s="606">
        <v>3.6362217246967497E-2</v>
      </c>
      <c r="AB14" s="606">
        <v>163.41810832083399</v>
      </c>
      <c r="AC14" s="606">
        <v>1.6876591993057799</v>
      </c>
      <c r="AD14" s="606">
        <v>0</v>
      </c>
      <c r="AE14" s="606">
        <v>165.10576752014001</v>
      </c>
      <c r="AF14" s="606">
        <v>2.1783454075222702E-3</v>
      </c>
      <c r="AG14" s="606">
        <v>8.2200362817767602E-5</v>
      </c>
      <c r="AH14" s="606">
        <v>0</v>
      </c>
      <c r="AI14" s="606">
        <v>2.2605457703400401E-3</v>
      </c>
      <c r="AJ14" s="606">
        <v>2.5687050896885399E-2</v>
      </c>
      <c r="AK14" s="606">
        <v>2.6527652409275698E-4</v>
      </c>
      <c r="AL14" s="606">
        <v>0</v>
      </c>
      <c r="AM14" s="606">
        <v>2.5952327420978201E-2</v>
      </c>
      <c r="AN14" s="606">
        <v>4.6898494094830101E-2</v>
      </c>
      <c r="AO14" s="606">
        <v>1.7697254149363099E-3</v>
      </c>
      <c r="AP14" s="606">
        <v>0</v>
      </c>
      <c r="AQ14" s="606">
        <v>4.8668219509766401E-2</v>
      </c>
      <c r="AR14" s="606">
        <v>0</v>
      </c>
      <c r="AS14" s="606">
        <v>0</v>
      </c>
      <c r="AT14" s="606">
        <v>0</v>
      </c>
      <c r="AU14" s="606">
        <v>0</v>
      </c>
      <c r="AV14" s="606">
        <v>4.8668219509766401E-2</v>
      </c>
      <c r="AW14" s="606">
        <v>5.3390817503221902E-2</v>
      </c>
      <c r="AX14" s="606">
        <v>2.0147147255650199E-3</v>
      </c>
      <c r="AY14" s="606">
        <v>0</v>
      </c>
      <c r="AZ14" s="606">
        <v>5.5405532228786997E-2</v>
      </c>
      <c r="BA14" s="606">
        <v>0</v>
      </c>
      <c r="BB14" s="606">
        <v>0</v>
      </c>
      <c r="BC14" s="606">
        <v>0</v>
      </c>
      <c r="BD14" s="606">
        <v>0</v>
      </c>
      <c r="BE14" s="606">
        <v>5.5405532228786997E-2</v>
      </c>
      <c r="BF14" s="606">
        <v>0.21809066845719999</v>
      </c>
      <c r="BG14" s="606">
        <v>1.46683974978963E-2</v>
      </c>
      <c r="BH14" s="606">
        <v>0</v>
      </c>
      <c r="BI14" s="606">
        <v>0.23275906595509599</v>
      </c>
      <c r="BJ14" s="606">
        <v>1.5448888120162499E-3</v>
      </c>
      <c r="BK14" s="606">
        <v>1.5954448636653299E-5</v>
      </c>
      <c r="BL14" s="606">
        <v>0</v>
      </c>
      <c r="BM14" s="606">
        <v>1.5608432606529E-3</v>
      </c>
      <c r="BN14" s="608">
        <v>14.714726344624999</v>
      </c>
      <c r="BO14" s="602"/>
    </row>
    <row r="15" spans="1:67">
      <c r="A15" s="607" t="s">
        <v>76</v>
      </c>
      <c r="B15" s="606">
        <v>2045</v>
      </c>
      <c r="C15" s="606" t="s">
        <v>140</v>
      </c>
      <c r="D15" s="606" t="s">
        <v>586</v>
      </c>
      <c r="E15" s="606" t="s">
        <v>586</v>
      </c>
      <c r="F15" s="606" t="s">
        <v>125</v>
      </c>
      <c r="G15" s="606">
        <v>5912.20392728356</v>
      </c>
      <c r="H15" s="606">
        <v>133075.35584543299</v>
      </c>
      <c r="I15" s="606">
        <v>74368.087852686702</v>
      </c>
      <c r="J15" s="606">
        <v>1.49854754334908E-2</v>
      </c>
      <c r="K15" s="606">
        <v>5.5950945679571198E-3</v>
      </c>
      <c r="L15" s="606">
        <v>0</v>
      </c>
      <c r="M15" s="606">
        <v>2.05805700014479E-2</v>
      </c>
      <c r="N15" s="606">
        <v>2.3772172878863602E-3</v>
      </c>
      <c r="O15" s="606">
        <v>1.72009961573929E-4</v>
      </c>
      <c r="P15" s="606">
        <v>0</v>
      </c>
      <c r="Q15" s="606">
        <v>2.5492272494602899E-3</v>
      </c>
      <c r="R15" s="606">
        <v>4.4007140986112702E-4</v>
      </c>
      <c r="S15" s="606">
        <v>5.6065097616307697E-3</v>
      </c>
      <c r="T15" s="606">
        <v>8.5958084209521897E-3</v>
      </c>
      <c r="U15" s="606">
        <v>2.4847045048990999E-3</v>
      </c>
      <c r="V15" s="606">
        <v>1.79787488753402E-4</v>
      </c>
      <c r="W15" s="606">
        <v>0</v>
      </c>
      <c r="X15" s="606">
        <v>2.6644919936524999E-3</v>
      </c>
      <c r="Y15" s="606">
        <v>1.76028563944451E-3</v>
      </c>
      <c r="Z15" s="606">
        <v>1.3081856110471701E-2</v>
      </c>
      <c r="AA15" s="606">
        <v>1.7506633743568801E-2</v>
      </c>
      <c r="AB15" s="606">
        <v>71.752991817891001</v>
      </c>
      <c r="AC15" s="606">
        <v>1.1056533128364101</v>
      </c>
      <c r="AD15" s="606">
        <v>0</v>
      </c>
      <c r="AE15" s="606">
        <v>72.858645130727396</v>
      </c>
      <c r="AF15" s="606">
        <v>8.5601382274673595E-4</v>
      </c>
      <c r="AG15" s="606">
        <v>3.3224948967037701E-5</v>
      </c>
      <c r="AH15" s="606">
        <v>0</v>
      </c>
      <c r="AI15" s="606">
        <v>8.8923877171377295E-4</v>
      </c>
      <c r="AJ15" s="606">
        <v>1.12785710945289E-2</v>
      </c>
      <c r="AK15" s="606">
        <v>1.7379330364894401E-4</v>
      </c>
      <c r="AL15" s="606">
        <v>0</v>
      </c>
      <c r="AM15" s="606">
        <v>1.14523643981779E-2</v>
      </c>
      <c r="AN15" s="606">
        <v>1.8429473614491598E-2</v>
      </c>
      <c r="AO15" s="606">
        <v>7.1531358964049797E-4</v>
      </c>
      <c r="AP15" s="606">
        <v>0</v>
      </c>
      <c r="AQ15" s="606">
        <v>1.91447872041321E-2</v>
      </c>
      <c r="AR15" s="606">
        <v>0</v>
      </c>
      <c r="AS15" s="606">
        <v>0</v>
      </c>
      <c r="AT15" s="606">
        <v>0</v>
      </c>
      <c r="AU15" s="606">
        <v>0</v>
      </c>
      <c r="AV15" s="606">
        <v>1.91447872041321E-2</v>
      </c>
      <c r="AW15" s="606">
        <v>2.0980730435441301E-2</v>
      </c>
      <c r="AX15" s="606">
        <v>8.1433696452697796E-4</v>
      </c>
      <c r="AY15" s="606">
        <v>0</v>
      </c>
      <c r="AZ15" s="606">
        <v>2.1795067399968199E-2</v>
      </c>
      <c r="BA15" s="606">
        <v>0</v>
      </c>
      <c r="BB15" s="606">
        <v>0</v>
      </c>
      <c r="BC15" s="606">
        <v>0</v>
      </c>
      <c r="BD15" s="606">
        <v>0</v>
      </c>
      <c r="BE15" s="606">
        <v>2.1795067399968199E-2</v>
      </c>
      <c r="BF15" s="606">
        <v>8.6347485245846095E-2</v>
      </c>
      <c r="BG15" s="606">
        <v>5.9288881653267698E-3</v>
      </c>
      <c r="BH15" s="606">
        <v>0</v>
      </c>
      <c r="BI15" s="606">
        <v>9.2276373411172799E-2</v>
      </c>
      <c r="BJ15" s="606">
        <v>6.7832381262499701E-4</v>
      </c>
      <c r="BK15" s="606">
        <v>1.04523999850505E-5</v>
      </c>
      <c r="BL15" s="606">
        <v>0</v>
      </c>
      <c r="BM15" s="606">
        <v>6.8877621261004805E-4</v>
      </c>
      <c r="BN15" s="608">
        <v>6.4933832478506499</v>
      </c>
      <c r="BO15" s="602"/>
    </row>
    <row r="16" spans="1:67">
      <c r="A16" s="607" t="s">
        <v>76</v>
      </c>
      <c r="B16" s="606">
        <v>2045</v>
      </c>
      <c r="C16" s="606" t="s">
        <v>138</v>
      </c>
      <c r="D16" s="606" t="s">
        <v>586</v>
      </c>
      <c r="E16" s="606" t="s">
        <v>586</v>
      </c>
      <c r="F16" s="606" t="s">
        <v>125</v>
      </c>
      <c r="G16" s="606">
        <v>5427.2147548687999</v>
      </c>
      <c r="H16" s="606">
        <v>114960.21993811001</v>
      </c>
      <c r="I16" s="606">
        <v>25151.4695315428</v>
      </c>
      <c r="J16" s="606">
        <v>1.0716165171704101E-3</v>
      </c>
      <c r="K16" s="606">
        <v>0</v>
      </c>
      <c r="L16" s="606">
        <v>0</v>
      </c>
      <c r="M16" s="606">
        <v>1.0716165171704101E-3</v>
      </c>
      <c r="N16" s="606">
        <v>9.7304655925778497E-5</v>
      </c>
      <c r="O16" s="606">
        <v>0</v>
      </c>
      <c r="P16" s="606">
        <v>0</v>
      </c>
      <c r="Q16" s="606">
        <v>9.7304655925778497E-5</v>
      </c>
      <c r="R16" s="606">
        <v>2.5344390148826799E-4</v>
      </c>
      <c r="S16" s="606">
        <v>1.9958707242201099E-3</v>
      </c>
      <c r="T16" s="606">
        <v>2.3466192816341599E-3</v>
      </c>
      <c r="U16" s="606">
        <v>1.01704340683726E-4</v>
      </c>
      <c r="V16" s="606">
        <v>0</v>
      </c>
      <c r="W16" s="606">
        <v>0</v>
      </c>
      <c r="X16" s="606">
        <v>1.01704340683726E-4</v>
      </c>
      <c r="Y16" s="606">
        <v>1.01377560595307E-3</v>
      </c>
      <c r="Z16" s="606">
        <v>4.6570316898469398E-3</v>
      </c>
      <c r="AA16" s="606">
        <v>5.77251163648374E-3</v>
      </c>
      <c r="AB16" s="606">
        <v>33.292556404787099</v>
      </c>
      <c r="AC16" s="606">
        <v>0</v>
      </c>
      <c r="AD16" s="606">
        <v>0</v>
      </c>
      <c r="AE16" s="606">
        <v>33.292556404787099</v>
      </c>
      <c r="AF16" s="606">
        <v>2.4494089196890399E-5</v>
      </c>
      <c r="AG16" s="606">
        <v>0</v>
      </c>
      <c r="AH16" s="606">
        <v>0</v>
      </c>
      <c r="AI16" s="606">
        <v>2.4494089196890399E-5</v>
      </c>
      <c r="AJ16" s="606">
        <v>5.23312624068704E-3</v>
      </c>
      <c r="AK16" s="606">
        <v>0</v>
      </c>
      <c r="AL16" s="606">
        <v>0</v>
      </c>
      <c r="AM16" s="606">
        <v>5.23312624068704E-3</v>
      </c>
      <c r="AN16" s="606">
        <v>5.2734331919620701E-4</v>
      </c>
      <c r="AO16" s="606">
        <v>0</v>
      </c>
      <c r="AP16" s="606">
        <v>0</v>
      </c>
      <c r="AQ16" s="606">
        <v>5.2734331919620701E-4</v>
      </c>
      <c r="AR16" s="606">
        <v>0</v>
      </c>
      <c r="AS16" s="606">
        <v>0</v>
      </c>
      <c r="AT16" s="606">
        <v>0</v>
      </c>
      <c r="AU16" s="606">
        <v>0</v>
      </c>
      <c r="AV16" s="606">
        <v>5.2734331919620701E-4</v>
      </c>
      <c r="AW16" s="606">
        <v>6.0034530873885096E-4</v>
      </c>
      <c r="AX16" s="606">
        <v>0</v>
      </c>
      <c r="AY16" s="606">
        <v>0</v>
      </c>
      <c r="AZ16" s="606">
        <v>6.0034530873885096E-4</v>
      </c>
      <c r="BA16" s="606">
        <v>0</v>
      </c>
      <c r="BB16" s="606">
        <v>0</v>
      </c>
      <c r="BC16" s="606">
        <v>0</v>
      </c>
      <c r="BD16" s="606">
        <v>0</v>
      </c>
      <c r="BE16" s="606">
        <v>6.0034530873885096E-4</v>
      </c>
      <c r="BF16" s="606">
        <v>1.7403341326027801E-2</v>
      </c>
      <c r="BG16" s="606">
        <v>0</v>
      </c>
      <c r="BH16" s="606">
        <v>0</v>
      </c>
      <c r="BI16" s="606">
        <v>1.7403341326027801E-2</v>
      </c>
      <c r="BJ16" s="606">
        <v>3.1473438556881299E-4</v>
      </c>
      <c r="BK16" s="606">
        <v>0</v>
      </c>
      <c r="BL16" s="606">
        <v>0</v>
      </c>
      <c r="BM16" s="606">
        <v>3.1473438556881299E-4</v>
      </c>
      <c r="BN16" s="608">
        <v>2.9671335179110399</v>
      </c>
      <c r="BO16" s="602"/>
    </row>
    <row r="17" spans="1:67">
      <c r="A17" s="607" t="s">
        <v>76</v>
      </c>
      <c r="B17" s="606">
        <v>2045</v>
      </c>
      <c r="C17" s="606" t="s">
        <v>137</v>
      </c>
      <c r="D17" s="606" t="s">
        <v>586</v>
      </c>
      <c r="E17" s="606" t="s">
        <v>586</v>
      </c>
      <c r="F17" s="606" t="s">
        <v>125</v>
      </c>
      <c r="G17" s="606">
        <v>1132.21233188883</v>
      </c>
      <c r="H17" s="606">
        <v>6936.5069511154297</v>
      </c>
      <c r="I17" s="606">
        <v>113.22123318888301</v>
      </c>
      <c r="J17" s="606">
        <v>1.85190802080295E-2</v>
      </c>
      <c r="K17" s="606">
        <v>0</v>
      </c>
      <c r="L17" s="606">
        <v>0</v>
      </c>
      <c r="M17" s="606">
        <v>1.85190802080295E-2</v>
      </c>
      <c r="N17" s="606">
        <v>1.25253153418455E-4</v>
      </c>
      <c r="O17" s="606">
        <v>0</v>
      </c>
      <c r="P17" s="606">
        <v>0</v>
      </c>
      <c r="Q17" s="606">
        <v>1.25253153418455E-4</v>
      </c>
      <c r="R17" s="606">
        <v>3.0584760282080697E-5</v>
      </c>
      <c r="S17" s="606">
        <v>4.27116177339257E-4</v>
      </c>
      <c r="T17" s="606">
        <v>5.82954091039793E-4</v>
      </c>
      <c r="U17" s="606">
        <v>1.30916545213401E-4</v>
      </c>
      <c r="V17" s="606">
        <v>0</v>
      </c>
      <c r="W17" s="606">
        <v>0</v>
      </c>
      <c r="X17" s="606">
        <v>1.30916545213401E-4</v>
      </c>
      <c r="Y17" s="606">
        <v>1.22339041128322E-4</v>
      </c>
      <c r="Z17" s="606">
        <v>9.9660441379160005E-4</v>
      </c>
      <c r="AA17" s="606">
        <v>1.24986000013332E-3</v>
      </c>
      <c r="AB17" s="606">
        <v>6.2901473879810199</v>
      </c>
      <c r="AC17" s="606">
        <v>0</v>
      </c>
      <c r="AD17" s="606">
        <v>0</v>
      </c>
      <c r="AE17" s="606">
        <v>6.2901473879810199</v>
      </c>
      <c r="AF17" s="606">
        <v>2.5472900095063E-5</v>
      </c>
      <c r="AG17" s="606">
        <v>0</v>
      </c>
      <c r="AH17" s="606">
        <v>0</v>
      </c>
      <c r="AI17" s="606">
        <v>2.5472900095063E-5</v>
      </c>
      <c r="AJ17" s="606">
        <v>9.8872357393075898E-4</v>
      </c>
      <c r="AK17" s="606">
        <v>0</v>
      </c>
      <c r="AL17" s="606">
        <v>0</v>
      </c>
      <c r="AM17" s="606">
        <v>9.8872357393075898E-4</v>
      </c>
      <c r="AN17" s="606">
        <v>5.4841654154624505E-4</v>
      </c>
      <c r="AO17" s="606">
        <v>0</v>
      </c>
      <c r="AP17" s="606">
        <v>0</v>
      </c>
      <c r="AQ17" s="606">
        <v>5.4841654154624505E-4</v>
      </c>
      <c r="AR17" s="606">
        <v>0</v>
      </c>
      <c r="AS17" s="606">
        <v>0</v>
      </c>
      <c r="AT17" s="606">
        <v>0</v>
      </c>
      <c r="AU17" s="606">
        <v>0</v>
      </c>
      <c r="AV17" s="606">
        <v>5.4841654154624505E-4</v>
      </c>
      <c r="AW17" s="606">
        <v>6.2433577134135305E-4</v>
      </c>
      <c r="AX17" s="606">
        <v>0</v>
      </c>
      <c r="AY17" s="606">
        <v>0</v>
      </c>
      <c r="AZ17" s="606">
        <v>6.2433577134135305E-4</v>
      </c>
      <c r="BA17" s="606">
        <v>0</v>
      </c>
      <c r="BB17" s="606">
        <v>0</v>
      </c>
      <c r="BC17" s="606">
        <v>0</v>
      </c>
      <c r="BD17" s="606">
        <v>0</v>
      </c>
      <c r="BE17" s="606">
        <v>6.2433577134135305E-4</v>
      </c>
      <c r="BF17" s="606">
        <v>1.56028395651319E-3</v>
      </c>
      <c r="BG17" s="606">
        <v>0</v>
      </c>
      <c r="BH17" s="606">
        <v>0</v>
      </c>
      <c r="BI17" s="606">
        <v>1.56028395651319E-3</v>
      </c>
      <c r="BJ17" s="606">
        <v>5.9464513605474203E-5</v>
      </c>
      <c r="BK17" s="606">
        <v>0</v>
      </c>
      <c r="BL17" s="606">
        <v>0</v>
      </c>
      <c r="BM17" s="606">
        <v>5.9464513605474203E-5</v>
      </c>
      <c r="BN17" s="608">
        <v>0.56059699713523503</v>
      </c>
      <c r="BO17" s="602"/>
    </row>
    <row r="18" spans="1:67">
      <c r="A18" s="607" t="s">
        <v>76</v>
      </c>
      <c r="B18" s="606">
        <v>2045</v>
      </c>
      <c r="C18" s="606" t="s">
        <v>173</v>
      </c>
      <c r="D18" s="606" t="s">
        <v>586</v>
      </c>
      <c r="E18" s="606" t="s">
        <v>586</v>
      </c>
      <c r="F18" s="606" t="s">
        <v>125</v>
      </c>
      <c r="G18" s="606">
        <v>107.87144244128</v>
      </c>
      <c r="H18" s="606">
        <v>13480.802197544999</v>
      </c>
      <c r="I18" s="606">
        <v>1574.9230596426901</v>
      </c>
      <c r="J18" s="606">
        <v>2.6247292044752402E-2</v>
      </c>
      <c r="K18" s="606">
        <v>5.6133583445483696E-3</v>
      </c>
      <c r="L18" s="606">
        <v>3.8786875298444101E-3</v>
      </c>
      <c r="M18" s="606">
        <v>3.57393379191452E-2</v>
      </c>
      <c r="N18" s="606">
        <v>3.2336019533198401E-4</v>
      </c>
      <c r="O18" s="606">
        <v>1.93417451832887E-6</v>
      </c>
      <c r="P18" s="606">
        <v>0</v>
      </c>
      <c r="Q18" s="606">
        <v>3.2529436985031298E-4</v>
      </c>
      <c r="R18" s="606">
        <v>4.4580122228064797E-5</v>
      </c>
      <c r="S18" s="606">
        <v>8.3008187588656703E-4</v>
      </c>
      <c r="T18" s="606">
        <v>1.1999563679649401E-3</v>
      </c>
      <c r="U18" s="606">
        <v>3.3798110847528101E-4</v>
      </c>
      <c r="V18" s="606">
        <v>2.0216293072753898E-6</v>
      </c>
      <c r="W18" s="606">
        <v>0</v>
      </c>
      <c r="X18" s="606">
        <v>3.4000273778255602E-4</v>
      </c>
      <c r="Y18" s="606">
        <v>1.78320488912259E-4</v>
      </c>
      <c r="Z18" s="606">
        <v>1.93685771040199E-3</v>
      </c>
      <c r="AA18" s="606">
        <v>2.4551809370967998E-3</v>
      </c>
      <c r="AB18" s="606">
        <v>17.4105357353572</v>
      </c>
      <c r="AC18" s="606">
        <v>0.99529878889922097</v>
      </c>
      <c r="AD18" s="606">
        <v>0</v>
      </c>
      <c r="AE18" s="606">
        <v>18.405834524256399</v>
      </c>
      <c r="AF18" s="606">
        <v>1.24894827988342E-5</v>
      </c>
      <c r="AG18" s="606">
        <v>2.2063751355556801E-5</v>
      </c>
      <c r="AH18" s="606">
        <v>0</v>
      </c>
      <c r="AI18" s="606">
        <v>3.45532341543911E-5</v>
      </c>
      <c r="AJ18" s="606">
        <v>2.7366937616126199E-3</v>
      </c>
      <c r="AK18" s="606">
        <v>1.5644710926324701E-4</v>
      </c>
      <c r="AL18" s="606">
        <v>0</v>
      </c>
      <c r="AM18" s="606">
        <v>2.8931408708758699E-3</v>
      </c>
      <c r="AN18" s="606">
        <v>2.6889513977055299E-4</v>
      </c>
      <c r="AO18" s="606">
        <v>4.7502651632371401E-4</v>
      </c>
      <c r="AP18" s="606">
        <v>0</v>
      </c>
      <c r="AQ18" s="606">
        <v>7.4392165609426803E-4</v>
      </c>
      <c r="AR18" s="606">
        <v>0</v>
      </c>
      <c r="AS18" s="606">
        <v>0</v>
      </c>
      <c r="AT18" s="606">
        <v>0</v>
      </c>
      <c r="AU18" s="606">
        <v>0</v>
      </c>
      <c r="AV18" s="606">
        <v>7.4392165609426803E-4</v>
      </c>
      <c r="AW18" s="606">
        <v>3.0611664798421202E-4</v>
      </c>
      <c r="AX18" s="606">
        <v>5.4078152920396304E-4</v>
      </c>
      <c r="AY18" s="606">
        <v>0</v>
      </c>
      <c r="AZ18" s="606">
        <v>8.4689817718817603E-4</v>
      </c>
      <c r="BA18" s="606">
        <v>0</v>
      </c>
      <c r="BB18" s="606">
        <v>0</v>
      </c>
      <c r="BC18" s="606">
        <v>0</v>
      </c>
      <c r="BD18" s="606">
        <v>0</v>
      </c>
      <c r="BE18" s="606">
        <v>8.4689817718817603E-4</v>
      </c>
      <c r="BF18" s="606">
        <v>2.4987971577687101E-3</v>
      </c>
      <c r="BG18" s="606">
        <v>7.0189061538603898E-3</v>
      </c>
      <c r="BH18" s="606">
        <v>0</v>
      </c>
      <c r="BI18" s="606">
        <v>9.5177033116291103E-3</v>
      </c>
      <c r="BJ18" s="606">
        <v>1.64486108690342E-4</v>
      </c>
      <c r="BK18" s="606">
        <v>9.40308944300754E-6</v>
      </c>
      <c r="BL18" s="606">
        <v>0</v>
      </c>
      <c r="BM18" s="606">
        <v>1.7388919813334899E-4</v>
      </c>
      <c r="BN18" s="608">
        <v>1.64038375059095</v>
      </c>
      <c r="BO18" s="602"/>
    </row>
    <row r="19" spans="1:67">
      <c r="A19" s="607" t="s">
        <v>76</v>
      </c>
      <c r="B19" s="606">
        <v>2045</v>
      </c>
      <c r="C19" s="606" t="s">
        <v>172</v>
      </c>
      <c r="D19" s="606" t="s">
        <v>586</v>
      </c>
      <c r="E19" s="606" t="s">
        <v>586</v>
      </c>
      <c r="F19" s="606" t="s">
        <v>125</v>
      </c>
      <c r="G19" s="606">
        <v>0</v>
      </c>
      <c r="H19" s="606">
        <v>2583.7546808337902</v>
      </c>
      <c r="I19" s="606">
        <v>0</v>
      </c>
      <c r="J19" s="606">
        <v>1.3916026136223499E-2</v>
      </c>
      <c r="K19" s="606">
        <v>0</v>
      </c>
      <c r="L19" s="606">
        <v>0</v>
      </c>
      <c r="M19" s="606">
        <v>1.3916026136223499E-2</v>
      </c>
      <c r="N19" s="606">
        <v>1.4584097485940999E-5</v>
      </c>
      <c r="O19" s="606">
        <v>0</v>
      </c>
      <c r="P19" s="606">
        <v>0</v>
      </c>
      <c r="Q19" s="606">
        <v>1.4584097485940999E-5</v>
      </c>
      <c r="R19" s="606">
        <v>0</v>
      </c>
      <c r="S19" s="606">
        <v>0</v>
      </c>
      <c r="T19" s="606">
        <v>1.4584097485940999E-5</v>
      </c>
      <c r="U19" s="606">
        <v>1.52435256582811E-5</v>
      </c>
      <c r="V19" s="606">
        <v>0</v>
      </c>
      <c r="W19" s="606">
        <v>0</v>
      </c>
      <c r="X19" s="606">
        <v>1.52435256582811E-5</v>
      </c>
      <c r="Y19" s="606">
        <v>0</v>
      </c>
      <c r="Z19" s="606">
        <v>0</v>
      </c>
      <c r="AA19" s="606">
        <v>1.52435256582811E-5</v>
      </c>
      <c r="AB19" s="606">
        <v>4.4980565116797404</v>
      </c>
      <c r="AC19" s="606">
        <v>0</v>
      </c>
      <c r="AD19" s="606">
        <v>0</v>
      </c>
      <c r="AE19" s="606">
        <v>4.4980565116797404</v>
      </c>
      <c r="AF19" s="606">
        <v>3.5099013529171299E-6</v>
      </c>
      <c r="AG19" s="606">
        <v>0</v>
      </c>
      <c r="AH19" s="606">
        <v>0</v>
      </c>
      <c r="AI19" s="606">
        <v>3.5099013529171299E-6</v>
      </c>
      <c r="AJ19" s="606">
        <v>7.0703184451103901E-4</v>
      </c>
      <c r="AK19" s="606">
        <v>0</v>
      </c>
      <c r="AL19" s="606">
        <v>0</v>
      </c>
      <c r="AM19" s="606">
        <v>7.0703184451103901E-4</v>
      </c>
      <c r="AN19" s="606">
        <v>7.5567213636868697E-5</v>
      </c>
      <c r="AO19" s="606">
        <v>0</v>
      </c>
      <c r="AP19" s="606">
        <v>0</v>
      </c>
      <c r="AQ19" s="606">
        <v>7.5567213636868697E-5</v>
      </c>
      <c r="AR19" s="606">
        <v>0</v>
      </c>
      <c r="AS19" s="606">
        <v>0</v>
      </c>
      <c r="AT19" s="606">
        <v>0</v>
      </c>
      <c r="AU19" s="606">
        <v>0</v>
      </c>
      <c r="AV19" s="606">
        <v>7.5567213636868697E-5</v>
      </c>
      <c r="AW19" s="606">
        <v>8.6027520451890103E-5</v>
      </c>
      <c r="AX19" s="606">
        <v>0</v>
      </c>
      <c r="AY19" s="606">
        <v>0</v>
      </c>
      <c r="AZ19" s="606">
        <v>8.6027520451890103E-5</v>
      </c>
      <c r="BA19" s="606">
        <v>0</v>
      </c>
      <c r="BB19" s="606">
        <v>0</v>
      </c>
      <c r="BC19" s="606">
        <v>0</v>
      </c>
      <c r="BD19" s="606">
        <v>0</v>
      </c>
      <c r="BE19" s="606">
        <v>8.6027520451890103E-5</v>
      </c>
      <c r="BF19" s="606">
        <v>1.21092540878486E-3</v>
      </c>
      <c r="BG19" s="606">
        <v>0</v>
      </c>
      <c r="BH19" s="606">
        <v>0</v>
      </c>
      <c r="BI19" s="606">
        <v>1.21092540878486E-3</v>
      </c>
      <c r="BJ19" s="606">
        <v>4.2495407580878403E-5</v>
      </c>
      <c r="BK19" s="606">
        <v>0</v>
      </c>
      <c r="BL19" s="606">
        <v>0</v>
      </c>
      <c r="BM19" s="606">
        <v>4.2495407580878403E-5</v>
      </c>
      <c r="BN19" s="608">
        <v>0.40088042741421698</v>
      </c>
      <c r="BO19" s="602"/>
    </row>
    <row r="20" spans="1:67">
      <c r="A20" s="607" t="s">
        <v>76</v>
      </c>
      <c r="B20" s="606">
        <v>2045</v>
      </c>
      <c r="C20" s="606" t="s">
        <v>135</v>
      </c>
      <c r="D20" s="606" t="s">
        <v>586</v>
      </c>
      <c r="E20" s="606" t="s">
        <v>586</v>
      </c>
      <c r="F20" s="606" t="s">
        <v>125</v>
      </c>
      <c r="G20" s="606">
        <v>135.97871812771899</v>
      </c>
      <c r="H20" s="606">
        <v>4307.2583907497101</v>
      </c>
      <c r="I20" s="606">
        <v>1569.1755544620801</v>
      </c>
      <c r="J20" s="606">
        <v>6.8537887633827897E-3</v>
      </c>
      <c r="K20" s="606">
        <v>2.3344125248702598E-3</v>
      </c>
      <c r="L20" s="606">
        <v>3.6842586502893902E-3</v>
      </c>
      <c r="M20" s="606">
        <v>1.2872459938542399E-2</v>
      </c>
      <c r="N20" s="606">
        <v>3.6153199803437898E-5</v>
      </c>
      <c r="O20" s="606">
        <v>5.5654569825578495E-7</v>
      </c>
      <c r="P20" s="606">
        <v>0</v>
      </c>
      <c r="Q20" s="606">
        <v>3.67097455016937E-5</v>
      </c>
      <c r="R20" s="606">
        <v>1.42438189295921E-5</v>
      </c>
      <c r="S20" s="606">
        <v>1.5155423341086001E-3</v>
      </c>
      <c r="T20" s="606">
        <v>1.5664958985398901E-3</v>
      </c>
      <c r="U20" s="606">
        <v>3.7787887071101202E-5</v>
      </c>
      <c r="V20" s="606">
        <v>5.8171022509595201E-7</v>
      </c>
      <c r="W20" s="606">
        <v>0</v>
      </c>
      <c r="X20" s="606">
        <v>3.8369597296197201E-5</v>
      </c>
      <c r="Y20" s="606">
        <v>5.6975275718368502E-5</v>
      </c>
      <c r="Z20" s="606">
        <v>3.5362654462534099E-3</v>
      </c>
      <c r="AA20" s="606">
        <v>3.6316103192679701E-3</v>
      </c>
      <c r="AB20" s="606">
        <v>3.94541658669494</v>
      </c>
      <c r="AC20" s="606">
        <v>0.41489168748287902</v>
      </c>
      <c r="AD20" s="606">
        <v>0</v>
      </c>
      <c r="AE20" s="606">
        <v>4.3603082741778199</v>
      </c>
      <c r="AF20" s="606">
        <v>2.20741363185923E-6</v>
      </c>
      <c r="AG20" s="606">
        <v>1.8678997410862E-6</v>
      </c>
      <c r="AH20" s="606">
        <v>0</v>
      </c>
      <c r="AI20" s="606">
        <v>4.0753133729454298E-6</v>
      </c>
      <c r="AJ20" s="606">
        <v>6.2016454426751103E-4</v>
      </c>
      <c r="AK20" s="606">
        <v>6.5215195565378295E-5</v>
      </c>
      <c r="AL20" s="606">
        <v>0</v>
      </c>
      <c r="AM20" s="606">
        <v>6.8537973983288903E-4</v>
      </c>
      <c r="AN20" s="606">
        <v>4.7525010173008503E-5</v>
      </c>
      <c r="AO20" s="606">
        <v>4.0215369206772401E-5</v>
      </c>
      <c r="AP20" s="606">
        <v>0</v>
      </c>
      <c r="AQ20" s="606">
        <v>8.7740379379781005E-5</v>
      </c>
      <c r="AR20" s="606">
        <v>0</v>
      </c>
      <c r="AS20" s="606">
        <v>0</v>
      </c>
      <c r="AT20" s="606">
        <v>0</v>
      </c>
      <c r="AU20" s="606">
        <v>0</v>
      </c>
      <c r="AV20" s="606">
        <v>8.7740379379781005E-5</v>
      </c>
      <c r="AW20" s="606">
        <v>5.4103606416950699E-5</v>
      </c>
      <c r="AX20" s="606">
        <v>4.5782136596181201E-5</v>
      </c>
      <c r="AY20" s="606">
        <v>0</v>
      </c>
      <c r="AZ20" s="606">
        <v>9.9885743013131907E-5</v>
      </c>
      <c r="BA20" s="606">
        <v>0</v>
      </c>
      <c r="BB20" s="606">
        <v>0</v>
      </c>
      <c r="BC20" s="606">
        <v>0</v>
      </c>
      <c r="BD20" s="606">
        <v>0</v>
      </c>
      <c r="BE20" s="606">
        <v>9.9885743013131907E-5</v>
      </c>
      <c r="BF20" s="606">
        <v>4.7841047696787201E-4</v>
      </c>
      <c r="BG20" s="606">
        <v>1.6932287499786299E-3</v>
      </c>
      <c r="BH20" s="606">
        <v>0</v>
      </c>
      <c r="BI20" s="606">
        <v>2.1716392269465002E-3</v>
      </c>
      <c r="BJ20" s="606">
        <v>3.7274339593690099E-5</v>
      </c>
      <c r="BK20" s="606">
        <v>3.9196909411258903E-6</v>
      </c>
      <c r="BL20" s="606">
        <v>0</v>
      </c>
      <c r="BM20" s="606">
        <v>4.1194030534816001E-5</v>
      </c>
      <c r="BN20" s="608">
        <v>0.388603887050187</v>
      </c>
      <c r="BO20" s="602"/>
    </row>
    <row r="21" spans="1:67">
      <c r="A21" s="607" t="s">
        <v>76</v>
      </c>
      <c r="B21" s="606">
        <v>2045</v>
      </c>
      <c r="C21" s="606" t="s">
        <v>171</v>
      </c>
      <c r="D21" s="606" t="s">
        <v>586</v>
      </c>
      <c r="E21" s="606" t="s">
        <v>586</v>
      </c>
      <c r="F21" s="606" t="s">
        <v>125</v>
      </c>
      <c r="G21" s="606">
        <v>1.50457651623439</v>
      </c>
      <c r="H21" s="606">
        <v>1.83113789772323</v>
      </c>
      <c r="I21" s="606">
        <v>6.6201366714313199</v>
      </c>
      <c r="J21" s="606">
        <v>5.1294550573907597E-6</v>
      </c>
      <c r="K21" s="606">
        <v>4.7358742442020301E-6</v>
      </c>
      <c r="L21" s="606">
        <v>2.8404819817125601E-5</v>
      </c>
      <c r="M21" s="606">
        <v>3.8270149118718402E-5</v>
      </c>
      <c r="N21" s="606">
        <v>5.1563417780039001E-8</v>
      </c>
      <c r="O21" s="606">
        <v>1.1309713074985199E-9</v>
      </c>
      <c r="P21" s="606">
        <v>0</v>
      </c>
      <c r="Q21" s="606">
        <v>5.2694389087537497E-8</v>
      </c>
      <c r="R21" s="606">
        <v>6.0554520495678598E-9</v>
      </c>
      <c r="S21" s="606">
        <v>1.12752517162953E-7</v>
      </c>
      <c r="T21" s="606">
        <v>1.7150235830005901E-7</v>
      </c>
      <c r="U21" s="606">
        <v>5.38948867227747E-8</v>
      </c>
      <c r="V21" s="606">
        <v>1.1821088114127501E-9</v>
      </c>
      <c r="W21" s="606">
        <v>0</v>
      </c>
      <c r="X21" s="606">
        <v>5.5076995534187501E-8</v>
      </c>
      <c r="Y21" s="606">
        <v>2.4221808198271399E-8</v>
      </c>
      <c r="Z21" s="606">
        <v>2.6308920671355801E-7</v>
      </c>
      <c r="AA21" s="606">
        <v>3.4238801044601702E-7</v>
      </c>
      <c r="AB21" s="606">
        <v>2.1430907938454601E-3</v>
      </c>
      <c r="AC21" s="606">
        <v>1.0843289213212999E-3</v>
      </c>
      <c r="AD21" s="606">
        <v>0</v>
      </c>
      <c r="AE21" s="606">
        <v>3.22741971516677E-3</v>
      </c>
      <c r="AF21" s="606">
        <v>1.1361080503230001E-9</v>
      </c>
      <c r="AG21" s="606">
        <v>3.8002159049600201E-9</v>
      </c>
      <c r="AH21" s="606">
        <v>0</v>
      </c>
      <c r="AI21" s="606">
        <v>4.9363239552830299E-9</v>
      </c>
      <c r="AJ21" s="606">
        <v>3.3686402849601901E-7</v>
      </c>
      <c r="AK21" s="606">
        <v>1.7044140626240599E-7</v>
      </c>
      <c r="AL21" s="606">
        <v>0</v>
      </c>
      <c r="AM21" s="606">
        <v>5.0730543475842495E-7</v>
      </c>
      <c r="AN21" s="606">
        <v>2.4460094777869301E-8</v>
      </c>
      <c r="AO21" s="606">
        <v>8.1817606331775604E-8</v>
      </c>
      <c r="AP21" s="606">
        <v>0</v>
      </c>
      <c r="AQ21" s="606">
        <v>1.0627770110964499E-7</v>
      </c>
      <c r="AR21" s="606">
        <v>0</v>
      </c>
      <c r="AS21" s="606">
        <v>0</v>
      </c>
      <c r="AT21" s="606">
        <v>0</v>
      </c>
      <c r="AU21" s="606">
        <v>0</v>
      </c>
      <c r="AV21" s="606">
        <v>1.0627770110964499E-7</v>
      </c>
      <c r="AW21" s="606">
        <v>2.7845955970668201E-8</v>
      </c>
      <c r="AX21" s="606">
        <v>9.3143116747094904E-8</v>
      </c>
      <c r="AY21" s="606">
        <v>0</v>
      </c>
      <c r="AZ21" s="606">
        <v>1.2098907271776301E-7</v>
      </c>
      <c r="BA21" s="606">
        <v>0</v>
      </c>
      <c r="BB21" s="606">
        <v>0</v>
      </c>
      <c r="BC21" s="606">
        <v>0</v>
      </c>
      <c r="BD21" s="606">
        <v>0</v>
      </c>
      <c r="BE21" s="606">
        <v>1.2098907271776301E-7</v>
      </c>
      <c r="BF21" s="606">
        <v>1.9060713815601299E-7</v>
      </c>
      <c r="BG21" s="606">
        <v>3.4645539816348699E-6</v>
      </c>
      <c r="BH21" s="606">
        <v>0</v>
      </c>
      <c r="BI21" s="606">
        <v>3.65516111979088E-6</v>
      </c>
      <c r="BJ21" s="606">
        <v>2.0246859178139099E-8</v>
      </c>
      <c r="BK21" s="606">
        <v>1.02442019889331E-8</v>
      </c>
      <c r="BL21" s="606">
        <v>0</v>
      </c>
      <c r="BM21" s="606">
        <v>3.04910611670723E-8</v>
      </c>
      <c r="BN21" s="608">
        <v>2.8763742551957599E-4</v>
      </c>
      <c r="BO21" s="602"/>
    </row>
    <row r="22" spans="1:67">
      <c r="A22" s="607" t="s">
        <v>76</v>
      </c>
      <c r="B22" s="606">
        <v>2045</v>
      </c>
      <c r="C22" s="606" t="s">
        <v>170</v>
      </c>
      <c r="D22" s="606" t="s">
        <v>586</v>
      </c>
      <c r="E22" s="606" t="s">
        <v>586</v>
      </c>
      <c r="F22" s="606" t="s">
        <v>125</v>
      </c>
      <c r="G22" s="606">
        <v>30.333994136309201</v>
      </c>
      <c r="H22" s="606">
        <v>4948.60789456361</v>
      </c>
      <c r="I22" s="606">
        <v>442.87631439011398</v>
      </c>
      <c r="J22" s="606">
        <v>5.0092756508079697E-3</v>
      </c>
      <c r="K22" s="606">
        <v>9.5480675129414695E-5</v>
      </c>
      <c r="L22" s="606">
        <v>6.4220550465765602E-4</v>
      </c>
      <c r="M22" s="606">
        <v>5.7469618305950503E-3</v>
      </c>
      <c r="N22" s="606">
        <v>5.1968849007277203E-5</v>
      </c>
      <c r="O22" s="606">
        <v>2.2801683157900301E-8</v>
      </c>
      <c r="P22" s="606">
        <v>0</v>
      </c>
      <c r="Q22" s="606">
        <v>5.1991650690435097E-5</v>
      </c>
      <c r="R22" s="606">
        <v>1.6364719366521502E-5</v>
      </c>
      <c r="S22" s="606">
        <v>3.04711074604631E-4</v>
      </c>
      <c r="T22" s="606">
        <v>3.7306744466158803E-4</v>
      </c>
      <c r="U22" s="606">
        <v>5.4318649751034203E-5</v>
      </c>
      <c r="V22" s="606">
        <v>2.3832674089330101E-8</v>
      </c>
      <c r="W22" s="606">
        <v>0</v>
      </c>
      <c r="X22" s="606">
        <v>5.4342482425123499E-5</v>
      </c>
      <c r="Y22" s="606">
        <v>6.5458877466086305E-5</v>
      </c>
      <c r="Z22" s="606">
        <v>7.1099250741080697E-4</v>
      </c>
      <c r="AA22" s="606">
        <v>8.3079386730201701E-4</v>
      </c>
      <c r="AB22" s="606">
        <v>3.7051359149602701</v>
      </c>
      <c r="AC22" s="606">
        <v>1.6102258112758901E-2</v>
      </c>
      <c r="AD22" s="606">
        <v>0</v>
      </c>
      <c r="AE22" s="606">
        <v>3.7212381730730302</v>
      </c>
      <c r="AF22" s="606">
        <v>1.9745405421416999E-6</v>
      </c>
      <c r="AG22" s="606">
        <v>7.6616726191018293E-8</v>
      </c>
      <c r="AH22" s="606">
        <v>0</v>
      </c>
      <c r="AI22" s="606">
        <v>2.05115726833272E-6</v>
      </c>
      <c r="AJ22" s="606">
        <v>5.8239576877618701E-4</v>
      </c>
      <c r="AK22" s="606">
        <v>2.5310507381787498E-6</v>
      </c>
      <c r="AL22" s="606">
        <v>0</v>
      </c>
      <c r="AM22" s="606">
        <v>5.8492681951436603E-4</v>
      </c>
      <c r="AN22" s="606">
        <v>4.2511316410265901E-5</v>
      </c>
      <c r="AO22" s="606">
        <v>1.6495371049167001E-6</v>
      </c>
      <c r="AP22" s="606">
        <v>0</v>
      </c>
      <c r="AQ22" s="606">
        <v>4.41608535151826E-5</v>
      </c>
      <c r="AR22" s="606">
        <v>0</v>
      </c>
      <c r="AS22" s="606">
        <v>0</v>
      </c>
      <c r="AT22" s="606">
        <v>0</v>
      </c>
      <c r="AU22" s="606">
        <v>0</v>
      </c>
      <c r="AV22" s="606">
        <v>4.41608535151826E-5</v>
      </c>
      <c r="AW22" s="606">
        <v>4.83958977168986E-5</v>
      </c>
      <c r="AX22" s="606">
        <v>1.8778724290574899E-6</v>
      </c>
      <c r="AY22" s="606">
        <v>0</v>
      </c>
      <c r="AZ22" s="606">
        <v>5.02737701459561E-5</v>
      </c>
      <c r="BA22" s="606">
        <v>0</v>
      </c>
      <c r="BB22" s="606">
        <v>0</v>
      </c>
      <c r="BC22" s="606">
        <v>0</v>
      </c>
      <c r="BD22" s="606">
        <v>0</v>
      </c>
      <c r="BE22" s="606">
        <v>5.02737701459561E-5</v>
      </c>
      <c r="BF22" s="606">
        <v>3.52324014958562E-4</v>
      </c>
      <c r="BG22" s="606">
        <v>6.9849395514203896E-5</v>
      </c>
      <c r="BH22" s="606">
        <v>0</v>
      </c>
      <c r="BI22" s="606">
        <v>4.2217341047276599E-4</v>
      </c>
      <c r="BJ22" s="606">
        <v>3.5004286949251699E-5</v>
      </c>
      <c r="BK22" s="606">
        <v>1.5212615041571899E-7</v>
      </c>
      <c r="BL22" s="606">
        <v>0</v>
      </c>
      <c r="BM22" s="606">
        <v>3.5156413099667402E-5</v>
      </c>
      <c r="BN22" s="608">
        <v>0.331648022975712</v>
      </c>
      <c r="BO22" s="602"/>
    </row>
    <row r="23" spans="1:67">
      <c r="A23" s="607" t="s">
        <v>76</v>
      </c>
      <c r="B23" s="606">
        <v>2045</v>
      </c>
      <c r="C23" s="606" t="s">
        <v>169</v>
      </c>
      <c r="D23" s="606" t="s">
        <v>586</v>
      </c>
      <c r="E23" s="606" t="s">
        <v>586</v>
      </c>
      <c r="F23" s="606" t="s">
        <v>125</v>
      </c>
      <c r="G23" s="606">
        <v>23.188147645813</v>
      </c>
      <c r="H23" s="606">
        <v>974.77886455543205</v>
      </c>
      <c r="I23" s="606">
        <v>338.54695562887002</v>
      </c>
      <c r="J23" s="606">
        <v>1.02050354936379E-3</v>
      </c>
      <c r="K23" s="606">
        <v>7.2988080048866298E-5</v>
      </c>
      <c r="L23" s="606">
        <v>4.9092403243734904E-4</v>
      </c>
      <c r="M23" s="606">
        <v>1.58441566185E-3</v>
      </c>
      <c r="N23" s="606">
        <v>1.0711901625822899E-5</v>
      </c>
      <c r="O23" s="606">
        <v>1.7430239923649299E-8</v>
      </c>
      <c r="P23" s="606">
        <v>0</v>
      </c>
      <c r="Q23" s="606">
        <v>1.0729331865746599E-5</v>
      </c>
      <c r="R23" s="606">
        <v>3.2235293041484499E-6</v>
      </c>
      <c r="S23" s="606">
        <v>6.0022115643244203E-5</v>
      </c>
      <c r="T23" s="606">
        <v>7.3974976813139198E-5</v>
      </c>
      <c r="U23" s="606">
        <v>1.11962462839832E-5</v>
      </c>
      <c r="V23" s="606">
        <v>1.8218358027452599E-8</v>
      </c>
      <c r="W23" s="606">
        <v>0</v>
      </c>
      <c r="X23" s="606">
        <v>1.12144646420106E-5</v>
      </c>
      <c r="Y23" s="606">
        <v>1.2894117216593799E-5</v>
      </c>
      <c r="Z23" s="606">
        <v>1.4005160316756901E-4</v>
      </c>
      <c r="AA23" s="606">
        <v>1.6416018502617399E-4</v>
      </c>
      <c r="AB23" s="606">
        <v>0.80956830901280497</v>
      </c>
      <c r="AC23" s="606">
        <v>1.23026953997156E-2</v>
      </c>
      <c r="AD23" s="606">
        <v>0</v>
      </c>
      <c r="AE23" s="606">
        <v>0.82187100441252103</v>
      </c>
      <c r="AF23" s="606">
        <v>3.9593798514804498E-7</v>
      </c>
      <c r="AG23" s="606">
        <v>5.8567953533346399E-8</v>
      </c>
      <c r="AH23" s="606">
        <v>0</v>
      </c>
      <c r="AI23" s="606">
        <v>4.54505938681392E-7</v>
      </c>
      <c r="AJ23" s="606">
        <v>1.2725286427432001E-4</v>
      </c>
      <c r="AK23" s="606">
        <v>1.9338123917145102E-6</v>
      </c>
      <c r="AL23" s="606">
        <v>0</v>
      </c>
      <c r="AM23" s="606">
        <v>1.2918667666603499E-4</v>
      </c>
      <c r="AN23" s="606">
        <v>8.5244362454137893E-6</v>
      </c>
      <c r="AO23" s="606">
        <v>1.2609519789638E-6</v>
      </c>
      <c r="AP23" s="606">
        <v>0</v>
      </c>
      <c r="AQ23" s="606">
        <v>9.7853882243775997E-6</v>
      </c>
      <c r="AR23" s="606">
        <v>0</v>
      </c>
      <c r="AS23" s="606">
        <v>0</v>
      </c>
      <c r="AT23" s="606">
        <v>0</v>
      </c>
      <c r="AU23" s="606">
        <v>0</v>
      </c>
      <c r="AV23" s="606">
        <v>9.7853882243775997E-6</v>
      </c>
      <c r="AW23" s="606">
        <v>9.7044217743312307E-6</v>
      </c>
      <c r="AX23" s="606">
        <v>1.43549784276067E-6</v>
      </c>
      <c r="AY23" s="606">
        <v>0</v>
      </c>
      <c r="AZ23" s="606">
        <v>1.11399196170919E-5</v>
      </c>
      <c r="BA23" s="606">
        <v>0</v>
      </c>
      <c r="BB23" s="606">
        <v>0</v>
      </c>
      <c r="BC23" s="606">
        <v>0</v>
      </c>
      <c r="BD23" s="606">
        <v>0</v>
      </c>
      <c r="BE23" s="606">
        <v>1.11399196170919E-5</v>
      </c>
      <c r="BF23" s="606">
        <v>7.0648567927502598E-5</v>
      </c>
      <c r="BG23" s="606">
        <v>5.3394818001082998E-5</v>
      </c>
      <c r="BH23" s="606">
        <v>0</v>
      </c>
      <c r="BI23" s="606">
        <v>1.2404338592858499E-4</v>
      </c>
      <c r="BJ23" s="606">
        <v>7.6483999626795195E-6</v>
      </c>
      <c r="BK23" s="606">
        <v>1.1622976589928999E-7</v>
      </c>
      <c r="BL23" s="606">
        <v>0</v>
      </c>
      <c r="BM23" s="606">
        <v>7.7646297285788094E-6</v>
      </c>
      <c r="BN23" s="608">
        <v>7.3247634544548204E-2</v>
      </c>
      <c r="BO23" s="602"/>
    </row>
    <row r="24" spans="1:67">
      <c r="A24" s="607" t="s">
        <v>76</v>
      </c>
      <c r="B24" s="606">
        <v>2045</v>
      </c>
      <c r="C24" s="606" t="s">
        <v>168</v>
      </c>
      <c r="D24" s="606" t="s">
        <v>586</v>
      </c>
      <c r="E24" s="606" t="s">
        <v>586</v>
      </c>
      <c r="F24" s="606" t="s">
        <v>125</v>
      </c>
      <c r="G24" s="606">
        <v>34.932214330917098</v>
      </c>
      <c r="H24" s="606">
        <v>2338.8674003369301</v>
      </c>
      <c r="I24" s="606">
        <v>157.92718282870601</v>
      </c>
      <c r="J24" s="606">
        <v>6.3862307679063901E-3</v>
      </c>
      <c r="K24" s="606">
        <v>1.10170757485195E-4</v>
      </c>
      <c r="L24" s="606">
        <v>4.6619243116582102E-4</v>
      </c>
      <c r="M24" s="606">
        <v>6.9625939565574101E-3</v>
      </c>
      <c r="N24" s="606">
        <v>2.70160422821774E-5</v>
      </c>
      <c r="O24" s="606">
        <v>2.6481762783406299E-8</v>
      </c>
      <c r="P24" s="606">
        <v>0</v>
      </c>
      <c r="Q24" s="606">
        <v>2.70425240449608E-5</v>
      </c>
      <c r="R24" s="606">
        <v>7.7344799704311696E-6</v>
      </c>
      <c r="S24" s="606">
        <v>1.4401601704942799E-4</v>
      </c>
      <c r="T24" s="606">
        <v>1.7879302106482001E-4</v>
      </c>
      <c r="U24" s="606">
        <v>2.82375878322653E-5</v>
      </c>
      <c r="V24" s="606">
        <v>2.7679150585389999E-8</v>
      </c>
      <c r="W24" s="606">
        <v>0</v>
      </c>
      <c r="X24" s="606">
        <v>2.8265266982850702E-5</v>
      </c>
      <c r="Y24" s="606">
        <v>3.0937919881724597E-5</v>
      </c>
      <c r="Z24" s="606">
        <v>3.36037373115332E-4</v>
      </c>
      <c r="AA24" s="606">
        <v>3.9524055997990797E-4</v>
      </c>
      <c r="AB24" s="606">
        <v>2.5672809704312902</v>
      </c>
      <c r="AC24" s="606">
        <v>1.98473866678897E-2</v>
      </c>
      <c r="AD24" s="606">
        <v>0</v>
      </c>
      <c r="AE24" s="606">
        <v>2.5871283570991799</v>
      </c>
      <c r="AF24" s="606">
        <v>2.0006819097093699E-6</v>
      </c>
      <c r="AG24" s="606">
        <v>8.8220775796772207E-8</v>
      </c>
      <c r="AH24" s="606">
        <v>0</v>
      </c>
      <c r="AI24" s="606">
        <v>2.0889026855061398E-6</v>
      </c>
      <c r="AJ24" s="606">
        <v>4.0354081705929601E-4</v>
      </c>
      <c r="AK24" s="606">
        <v>3.1197327930594501E-6</v>
      </c>
      <c r="AL24" s="606">
        <v>0</v>
      </c>
      <c r="AM24" s="606">
        <v>4.0666054985235602E-4</v>
      </c>
      <c r="AN24" s="606">
        <v>4.3074132885465098E-5</v>
      </c>
      <c r="AO24" s="606">
        <v>1.89936911084531E-6</v>
      </c>
      <c r="AP24" s="606">
        <v>0</v>
      </c>
      <c r="AQ24" s="606">
        <v>4.4973501996310397E-5</v>
      </c>
      <c r="AR24" s="606">
        <v>0</v>
      </c>
      <c r="AS24" s="606">
        <v>0</v>
      </c>
      <c r="AT24" s="606">
        <v>0</v>
      </c>
      <c r="AU24" s="606">
        <v>0</v>
      </c>
      <c r="AV24" s="606">
        <v>4.4973501996310397E-5</v>
      </c>
      <c r="AW24" s="606">
        <v>4.9036621431597502E-5</v>
      </c>
      <c r="AX24" s="606">
        <v>2.1622871502729701E-6</v>
      </c>
      <c r="AY24" s="606">
        <v>0</v>
      </c>
      <c r="AZ24" s="606">
        <v>5.11989085818705E-5</v>
      </c>
      <c r="BA24" s="606">
        <v>0</v>
      </c>
      <c r="BB24" s="606">
        <v>0</v>
      </c>
      <c r="BC24" s="606">
        <v>0</v>
      </c>
      <c r="BD24" s="606">
        <v>0</v>
      </c>
      <c r="BE24" s="606">
        <v>5.11989085818705E-5</v>
      </c>
      <c r="BF24" s="606">
        <v>5.3245627762274798E-4</v>
      </c>
      <c r="BG24" s="606">
        <v>8.0399770695829001E-5</v>
      </c>
      <c r="BH24" s="606">
        <v>0</v>
      </c>
      <c r="BI24" s="606">
        <v>6.1285604831857695E-4</v>
      </c>
      <c r="BJ24" s="606">
        <v>2.42543976336949E-5</v>
      </c>
      <c r="BK24" s="606">
        <v>1.8750826799912801E-7</v>
      </c>
      <c r="BL24" s="606">
        <v>0</v>
      </c>
      <c r="BM24" s="606">
        <v>2.4441905901694E-5</v>
      </c>
      <c r="BN24" s="608">
        <v>0.23057271932362999</v>
      </c>
      <c r="BO24" s="602"/>
    </row>
    <row r="25" spans="1:67">
      <c r="A25" s="607" t="s">
        <v>76</v>
      </c>
      <c r="B25" s="606">
        <v>2045</v>
      </c>
      <c r="C25" s="606" t="s">
        <v>167</v>
      </c>
      <c r="D25" s="606" t="s">
        <v>586</v>
      </c>
      <c r="E25" s="606" t="s">
        <v>586</v>
      </c>
      <c r="F25" s="606" t="s">
        <v>125</v>
      </c>
      <c r="G25" s="606">
        <v>771.49971371216998</v>
      </c>
      <c r="H25" s="606">
        <v>38151.743095496196</v>
      </c>
      <c r="I25" s="606">
        <v>3487.9202098528199</v>
      </c>
      <c r="J25" s="606">
        <v>8.6362317133096306E-2</v>
      </c>
      <c r="K25" s="606">
        <v>2.4285360172399901E-3</v>
      </c>
      <c r="L25" s="606">
        <v>1.03365028336064E-2</v>
      </c>
      <c r="M25" s="606">
        <v>9.9127355983942803E-2</v>
      </c>
      <c r="N25" s="606">
        <v>3.4337106834497598E-4</v>
      </c>
      <c r="O25" s="606">
        <v>5.8003708469683601E-7</v>
      </c>
      <c r="P25" s="606">
        <v>0</v>
      </c>
      <c r="Q25" s="606">
        <v>3.4395110542967302E-4</v>
      </c>
      <c r="R25" s="606">
        <v>1.2616529383693999E-4</v>
      </c>
      <c r="S25" s="606">
        <v>2.34919777124383E-3</v>
      </c>
      <c r="T25" s="606">
        <v>2.8193141705104398E-3</v>
      </c>
      <c r="U25" s="606">
        <v>3.5889678436898701E-4</v>
      </c>
      <c r="V25" s="606">
        <v>6.0626378779038397E-7</v>
      </c>
      <c r="W25" s="606">
        <v>0</v>
      </c>
      <c r="X25" s="606">
        <v>3.5950304815677702E-4</v>
      </c>
      <c r="Y25" s="606">
        <v>5.0466117534776202E-4</v>
      </c>
      <c r="Z25" s="606">
        <v>5.48146146623561E-3</v>
      </c>
      <c r="AA25" s="606">
        <v>6.3456256897401501E-3</v>
      </c>
      <c r="AB25" s="606">
        <v>39.430186923350199</v>
      </c>
      <c r="AC25" s="606">
        <v>0.41588091060494298</v>
      </c>
      <c r="AD25" s="606">
        <v>0</v>
      </c>
      <c r="AE25" s="606">
        <v>39.846067833955097</v>
      </c>
      <c r="AF25" s="606">
        <v>2.87852059652303E-5</v>
      </c>
      <c r="AG25" s="606">
        <v>1.9486340822214602E-6</v>
      </c>
      <c r="AH25" s="606">
        <v>0</v>
      </c>
      <c r="AI25" s="606">
        <v>3.0733840047451697E-5</v>
      </c>
      <c r="AJ25" s="606">
        <v>6.1978762866677596E-3</v>
      </c>
      <c r="AK25" s="606">
        <v>6.5370687664423701E-5</v>
      </c>
      <c r="AL25" s="606">
        <v>0</v>
      </c>
      <c r="AM25" s="606">
        <v>6.2632469743321801E-3</v>
      </c>
      <c r="AN25" s="606">
        <v>6.19737590900659E-4</v>
      </c>
      <c r="AO25" s="606">
        <v>4.1953557432298999E-5</v>
      </c>
      <c r="AP25" s="606">
        <v>0</v>
      </c>
      <c r="AQ25" s="606">
        <v>6.6169114833295795E-4</v>
      </c>
      <c r="AR25" s="606">
        <v>0</v>
      </c>
      <c r="AS25" s="606">
        <v>0</v>
      </c>
      <c r="AT25" s="606">
        <v>0</v>
      </c>
      <c r="AU25" s="606">
        <v>0</v>
      </c>
      <c r="AV25" s="606">
        <v>6.6169114833295795E-4</v>
      </c>
      <c r="AW25" s="606">
        <v>7.0552407201632998E-4</v>
      </c>
      <c r="AX25" s="606">
        <v>4.7760931577815502E-5</v>
      </c>
      <c r="AY25" s="606">
        <v>0</v>
      </c>
      <c r="AZ25" s="606">
        <v>7.5328500359414497E-4</v>
      </c>
      <c r="BA25" s="606">
        <v>0</v>
      </c>
      <c r="BB25" s="606">
        <v>0</v>
      </c>
      <c r="BC25" s="606">
        <v>0</v>
      </c>
      <c r="BD25" s="606">
        <v>0</v>
      </c>
      <c r="BE25" s="606">
        <v>7.5328500359414497E-4</v>
      </c>
      <c r="BF25" s="606">
        <v>7.7509822233182701E-3</v>
      </c>
      <c r="BG25" s="606">
        <v>1.7764896987952901E-3</v>
      </c>
      <c r="BH25" s="606">
        <v>0</v>
      </c>
      <c r="BI25" s="606">
        <v>9.5274719221135704E-3</v>
      </c>
      <c r="BJ25" s="606">
        <v>3.72516854767629E-4</v>
      </c>
      <c r="BK25" s="606">
        <v>3.9290366306812297E-6</v>
      </c>
      <c r="BL25" s="606">
        <v>0</v>
      </c>
      <c r="BM25" s="606">
        <v>3.7644589139830997E-4</v>
      </c>
      <c r="BN25" s="608">
        <v>3.5512023165059601</v>
      </c>
      <c r="BO25" s="602"/>
    </row>
    <row r="26" spans="1:67">
      <c r="A26" s="607" t="s">
        <v>76</v>
      </c>
      <c r="B26" s="606">
        <v>2045</v>
      </c>
      <c r="C26" s="606" t="s">
        <v>166</v>
      </c>
      <c r="D26" s="606" t="s">
        <v>586</v>
      </c>
      <c r="E26" s="606" t="s">
        <v>586</v>
      </c>
      <c r="F26" s="606" t="s">
        <v>125</v>
      </c>
      <c r="G26" s="606">
        <v>2111.9215052037298</v>
      </c>
      <c r="H26" s="606">
        <v>216957.855217823</v>
      </c>
      <c r="I26" s="606">
        <v>24371.2813632777</v>
      </c>
      <c r="J26" s="606">
        <v>0.36598067055342498</v>
      </c>
      <c r="K26" s="606">
        <v>6.6475812657923001E-3</v>
      </c>
      <c r="L26" s="606">
        <v>5.7520993698871203E-2</v>
      </c>
      <c r="M26" s="606">
        <v>0.43014924551808897</v>
      </c>
      <c r="N26" s="606">
        <v>1.69046047130661E-3</v>
      </c>
      <c r="O26" s="606">
        <v>1.5875049226824499E-6</v>
      </c>
      <c r="P26" s="606">
        <v>0</v>
      </c>
      <c r="Q26" s="606">
        <v>1.6920479762293E-3</v>
      </c>
      <c r="R26" s="606">
        <v>7.17465293401507E-4</v>
      </c>
      <c r="S26" s="606">
        <v>1.3359203763136001E-2</v>
      </c>
      <c r="T26" s="606">
        <v>1.5768717032766801E-2</v>
      </c>
      <c r="U26" s="606">
        <v>1.76689559251186E-3</v>
      </c>
      <c r="V26" s="606">
        <v>1.6592848508373899E-6</v>
      </c>
      <c r="W26" s="606">
        <v>0</v>
      </c>
      <c r="X26" s="606">
        <v>1.76855487736269E-3</v>
      </c>
      <c r="Y26" s="606">
        <v>2.8698611736060202E-3</v>
      </c>
      <c r="Z26" s="606">
        <v>3.1171475447317399E-2</v>
      </c>
      <c r="AA26" s="606">
        <v>3.58098914982862E-2</v>
      </c>
      <c r="AB26" s="606">
        <v>177.46322545752599</v>
      </c>
      <c r="AC26" s="606">
        <v>1.16511606715705</v>
      </c>
      <c r="AD26" s="606">
        <v>0</v>
      </c>
      <c r="AE26" s="606">
        <v>178.62834152468301</v>
      </c>
      <c r="AF26" s="606">
        <v>1.03315454082143E-4</v>
      </c>
      <c r="AG26" s="606">
        <v>5.33423033491776E-6</v>
      </c>
      <c r="AH26" s="606">
        <v>0</v>
      </c>
      <c r="AI26" s="606">
        <v>1.08649684417061E-4</v>
      </c>
      <c r="AJ26" s="606">
        <v>2.7894747721001201E-2</v>
      </c>
      <c r="AK26" s="606">
        <v>1.8314002056053999E-4</v>
      </c>
      <c r="AL26" s="606">
        <v>0</v>
      </c>
      <c r="AM26" s="606">
        <v>2.80778877415617E-2</v>
      </c>
      <c r="AN26" s="606">
        <v>2.22435339503963E-3</v>
      </c>
      <c r="AO26" s="606">
        <v>1.1484451634858E-4</v>
      </c>
      <c r="AP26" s="606">
        <v>0</v>
      </c>
      <c r="AQ26" s="606">
        <v>2.33919791138821E-3</v>
      </c>
      <c r="AR26" s="606">
        <v>0</v>
      </c>
      <c r="AS26" s="606">
        <v>0</v>
      </c>
      <c r="AT26" s="606">
        <v>0</v>
      </c>
      <c r="AU26" s="606">
        <v>0</v>
      </c>
      <c r="AV26" s="606">
        <v>2.33919791138821E-3</v>
      </c>
      <c r="AW26" s="606">
        <v>2.5322570196056799E-3</v>
      </c>
      <c r="AX26" s="606">
        <v>1.3074173975027501E-4</v>
      </c>
      <c r="AY26" s="606">
        <v>0</v>
      </c>
      <c r="AZ26" s="606">
        <v>2.6629987593559598E-3</v>
      </c>
      <c r="BA26" s="606">
        <v>0</v>
      </c>
      <c r="BB26" s="606">
        <v>0</v>
      </c>
      <c r="BC26" s="606">
        <v>0</v>
      </c>
      <c r="BD26" s="606">
        <v>0</v>
      </c>
      <c r="BE26" s="606">
        <v>2.6629987593559598E-3</v>
      </c>
      <c r="BF26" s="606">
        <v>2.5310753783363098E-2</v>
      </c>
      <c r="BG26" s="606">
        <v>4.8630734168750396E-3</v>
      </c>
      <c r="BH26" s="606">
        <v>0</v>
      </c>
      <c r="BI26" s="606">
        <v>3.0173827200238101E-2</v>
      </c>
      <c r="BJ26" s="606">
        <v>1.6765845597654901E-3</v>
      </c>
      <c r="BK26" s="606">
        <v>1.10074388848395E-5</v>
      </c>
      <c r="BL26" s="606">
        <v>0</v>
      </c>
      <c r="BM26" s="606">
        <v>1.68759199865033E-3</v>
      </c>
      <c r="BN26" s="608">
        <v>15.9198991192679</v>
      </c>
      <c r="BO26" s="602"/>
    </row>
    <row r="27" spans="1:67">
      <c r="A27" s="607" t="s">
        <v>76</v>
      </c>
      <c r="B27" s="606">
        <v>2045</v>
      </c>
      <c r="C27" s="606" t="s">
        <v>165</v>
      </c>
      <c r="D27" s="606" t="s">
        <v>586</v>
      </c>
      <c r="E27" s="606" t="s">
        <v>586</v>
      </c>
      <c r="F27" s="606" t="s">
        <v>125</v>
      </c>
      <c r="G27" s="606">
        <v>6231.6722494390497</v>
      </c>
      <c r="H27" s="606">
        <v>279887.32527169498</v>
      </c>
      <c r="I27" s="606">
        <v>71912.633770050103</v>
      </c>
      <c r="J27" s="606">
        <v>0.44490368760356702</v>
      </c>
      <c r="K27" s="606">
        <v>1.96150981927391E-2</v>
      </c>
      <c r="L27" s="606">
        <v>0.16982865684479601</v>
      </c>
      <c r="M27" s="606">
        <v>0.63434744264110299</v>
      </c>
      <c r="N27" s="606">
        <v>2.0182194470894899E-3</v>
      </c>
      <c r="O27" s="606">
        <v>4.6842699163545798E-6</v>
      </c>
      <c r="P27" s="606">
        <v>0</v>
      </c>
      <c r="Q27" s="606">
        <v>2.0229037170058401E-3</v>
      </c>
      <c r="R27" s="606">
        <v>9.2556889329408799E-4</v>
      </c>
      <c r="S27" s="606">
        <v>1.72340927931359E-2</v>
      </c>
      <c r="T27" s="606">
        <v>2.0182565403435802E-2</v>
      </c>
      <c r="U27" s="606">
        <v>2.1094743747707202E-3</v>
      </c>
      <c r="V27" s="606">
        <v>4.8960718158322297E-6</v>
      </c>
      <c r="W27" s="606">
        <v>0</v>
      </c>
      <c r="X27" s="606">
        <v>2.1143704465865498E-3</v>
      </c>
      <c r="Y27" s="606">
        <v>3.7022755731763498E-3</v>
      </c>
      <c r="Z27" s="606">
        <v>4.0212883183983798E-2</v>
      </c>
      <c r="AA27" s="606">
        <v>4.60295292037467E-2</v>
      </c>
      <c r="AB27" s="606">
        <v>246.64342211883201</v>
      </c>
      <c r="AC27" s="606">
        <v>3.3483638563443301</v>
      </c>
      <c r="AD27" s="606">
        <v>0</v>
      </c>
      <c r="AE27" s="606">
        <v>249.99178597517599</v>
      </c>
      <c r="AF27" s="606">
        <v>1.2884766059960301E-4</v>
      </c>
      <c r="AG27" s="606">
        <v>1.57397777655643E-5</v>
      </c>
      <c r="AH27" s="606">
        <v>0</v>
      </c>
      <c r="AI27" s="606">
        <v>1.4458743836516801E-4</v>
      </c>
      <c r="AJ27" s="606">
        <v>3.8768911245197102E-2</v>
      </c>
      <c r="AK27" s="606">
        <v>5.2631616950520597E-4</v>
      </c>
      <c r="AL27" s="606">
        <v>0</v>
      </c>
      <c r="AM27" s="606">
        <v>3.9295227414702302E-2</v>
      </c>
      <c r="AN27" s="606">
        <v>2.7740547998731401E-3</v>
      </c>
      <c r="AO27" s="606">
        <v>3.3887309910254302E-4</v>
      </c>
      <c r="AP27" s="606">
        <v>0</v>
      </c>
      <c r="AQ27" s="606">
        <v>3.11292789897569E-3</v>
      </c>
      <c r="AR27" s="606">
        <v>0</v>
      </c>
      <c r="AS27" s="606">
        <v>0</v>
      </c>
      <c r="AT27" s="606">
        <v>0</v>
      </c>
      <c r="AU27" s="606">
        <v>0</v>
      </c>
      <c r="AV27" s="606">
        <v>3.11292789897569E-3</v>
      </c>
      <c r="AW27" s="606">
        <v>3.1580502250293102E-3</v>
      </c>
      <c r="AX27" s="606">
        <v>3.8578122787123802E-4</v>
      </c>
      <c r="AY27" s="606">
        <v>0</v>
      </c>
      <c r="AZ27" s="606">
        <v>3.5438314529005399E-3</v>
      </c>
      <c r="BA27" s="606">
        <v>0</v>
      </c>
      <c r="BB27" s="606">
        <v>0</v>
      </c>
      <c r="BC27" s="606">
        <v>0</v>
      </c>
      <c r="BD27" s="606">
        <v>0</v>
      </c>
      <c r="BE27" s="606">
        <v>3.5438314529005399E-3</v>
      </c>
      <c r="BF27" s="606">
        <v>3.1565639417239999E-2</v>
      </c>
      <c r="BG27" s="606">
        <v>1.4349529366623599E-2</v>
      </c>
      <c r="BH27" s="606">
        <v>0</v>
      </c>
      <c r="BI27" s="606">
        <v>4.5915168783863598E-2</v>
      </c>
      <c r="BJ27" s="606">
        <v>2.3301647551262901E-3</v>
      </c>
      <c r="BK27" s="606">
        <v>3.1633681443299101E-5</v>
      </c>
      <c r="BL27" s="606">
        <v>0</v>
      </c>
      <c r="BM27" s="606">
        <v>2.36179843656958E-3</v>
      </c>
      <c r="BN27" s="608">
        <v>22.2800255513792</v>
      </c>
      <c r="BO27" s="602"/>
    </row>
    <row r="28" spans="1:67">
      <c r="A28" s="607" t="s">
        <v>76</v>
      </c>
      <c r="B28" s="606">
        <v>2045</v>
      </c>
      <c r="C28" s="606" t="s">
        <v>164</v>
      </c>
      <c r="D28" s="606" t="s">
        <v>586</v>
      </c>
      <c r="E28" s="606" t="s">
        <v>586</v>
      </c>
      <c r="F28" s="606" t="s">
        <v>125</v>
      </c>
      <c r="G28" s="606">
        <v>19.841582188393001</v>
      </c>
      <c r="H28" s="606">
        <v>3259.6563172832098</v>
      </c>
      <c r="I28" s="606">
        <v>289.68709995053803</v>
      </c>
      <c r="J28" s="606">
        <v>3.2917500855403799E-3</v>
      </c>
      <c r="K28" s="606">
        <v>6.24542766926915E-5</v>
      </c>
      <c r="L28" s="606">
        <v>4.2007108698340003E-4</v>
      </c>
      <c r="M28" s="606">
        <v>3.7742754492164701E-3</v>
      </c>
      <c r="N28" s="606">
        <v>3.4123129073940499E-5</v>
      </c>
      <c r="O28" s="606">
        <v>1.49146686182561E-8</v>
      </c>
      <c r="P28" s="606">
        <v>0</v>
      </c>
      <c r="Q28" s="606">
        <v>3.4138043742558801E-5</v>
      </c>
      <c r="R28" s="606">
        <v>1.0779468084802199E-5</v>
      </c>
      <c r="S28" s="606">
        <v>2.0071369573901801E-4</v>
      </c>
      <c r="T28" s="606">
        <v>2.4563120756637902E-4</v>
      </c>
      <c r="U28" s="606">
        <v>3.5666025551521403E-5</v>
      </c>
      <c r="V28" s="606">
        <v>1.5589043750311901E-8</v>
      </c>
      <c r="W28" s="606">
        <v>0</v>
      </c>
      <c r="X28" s="606">
        <v>3.5681614595271701E-5</v>
      </c>
      <c r="Y28" s="606">
        <v>4.3117872339209E-5</v>
      </c>
      <c r="Z28" s="606">
        <v>4.6833195672437502E-4</v>
      </c>
      <c r="AA28" s="606">
        <v>5.4713144365885604E-4</v>
      </c>
      <c r="AB28" s="606">
        <v>2.4398969647979198</v>
      </c>
      <c r="AC28" s="606">
        <v>1.0527586678456199E-2</v>
      </c>
      <c r="AD28" s="606">
        <v>0</v>
      </c>
      <c r="AE28" s="606">
        <v>2.4504245514763801</v>
      </c>
      <c r="AF28" s="606">
        <v>1.29903026497186E-6</v>
      </c>
      <c r="AG28" s="606">
        <v>5.0115295166654203E-8</v>
      </c>
      <c r="AH28" s="606">
        <v>0</v>
      </c>
      <c r="AI28" s="606">
        <v>1.34914556013852E-6</v>
      </c>
      <c r="AJ28" s="606">
        <v>3.8351782530045498E-4</v>
      </c>
      <c r="AK28" s="606">
        <v>1.65479002057694E-6</v>
      </c>
      <c r="AL28" s="606">
        <v>0</v>
      </c>
      <c r="AM28" s="606">
        <v>3.8517261532103201E-4</v>
      </c>
      <c r="AN28" s="606">
        <v>2.7967765382437799E-5</v>
      </c>
      <c r="AO28" s="606">
        <v>1.0789685622320401E-6</v>
      </c>
      <c r="AP28" s="606">
        <v>0</v>
      </c>
      <c r="AQ28" s="606">
        <v>2.9046733944669799E-5</v>
      </c>
      <c r="AR28" s="606">
        <v>0</v>
      </c>
      <c r="AS28" s="606">
        <v>0</v>
      </c>
      <c r="AT28" s="606">
        <v>0</v>
      </c>
      <c r="AU28" s="606">
        <v>0</v>
      </c>
      <c r="AV28" s="606">
        <v>2.9046733944669799E-5</v>
      </c>
      <c r="AW28" s="606">
        <v>3.1839171945562597E-5</v>
      </c>
      <c r="AX28" s="606">
        <v>1.22832357562376E-6</v>
      </c>
      <c r="AY28" s="606">
        <v>0</v>
      </c>
      <c r="AZ28" s="606">
        <v>3.3067495521186401E-5</v>
      </c>
      <c r="BA28" s="606">
        <v>0</v>
      </c>
      <c r="BB28" s="606">
        <v>0</v>
      </c>
      <c r="BC28" s="606">
        <v>0</v>
      </c>
      <c r="BD28" s="606">
        <v>0</v>
      </c>
      <c r="BE28" s="606">
        <v>3.3067495521186401E-5</v>
      </c>
      <c r="BF28" s="606">
        <v>2.31790408575234E-4</v>
      </c>
      <c r="BG28" s="606">
        <v>4.5688758152877901E-5</v>
      </c>
      <c r="BH28" s="606">
        <v>0</v>
      </c>
      <c r="BI28" s="606">
        <v>2.7747916672811202E-4</v>
      </c>
      <c r="BJ28" s="606">
        <v>2.3050936711267899E-5</v>
      </c>
      <c r="BK28" s="606">
        <v>9.9459418880657599E-8</v>
      </c>
      <c r="BL28" s="606">
        <v>0</v>
      </c>
      <c r="BM28" s="606">
        <v>2.31503961301485E-5</v>
      </c>
      <c r="BN28" s="608">
        <v>0.21838926189375599</v>
      </c>
      <c r="BO28" s="602"/>
    </row>
    <row r="29" spans="1:67">
      <c r="A29" s="607" t="s">
        <v>76</v>
      </c>
      <c r="B29" s="606">
        <v>2045</v>
      </c>
      <c r="C29" s="606" t="s">
        <v>163</v>
      </c>
      <c r="D29" s="606" t="s">
        <v>586</v>
      </c>
      <c r="E29" s="606" t="s">
        <v>586</v>
      </c>
      <c r="F29" s="606" t="s">
        <v>125</v>
      </c>
      <c r="G29" s="606">
        <v>10.3343840591785</v>
      </c>
      <c r="H29" s="606">
        <v>427.93036780817602</v>
      </c>
      <c r="I29" s="606">
        <v>150.882007264007</v>
      </c>
      <c r="J29" s="606">
        <v>4.5141471763232197E-4</v>
      </c>
      <c r="K29" s="606">
        <v>3.2528982585775898E-5</v>
      </c>
      <c r="L29" s="606">
        <v>2.1878042497671299E-4</v>
      </c>
      <c r="M29" s="606">
        <v>7.0272412519481096E-4</v>
      </c>
      <c r="N29" s="606">
        <v>4.7472677570656604E-6</v>
      </c>
      <c r="O29" s="606">
        <v>7.7682269565479907E-9</v>
      </c>
      <c r="P29" s="606">
        <v>0</v>
      </c>
      <c r="Q29" s="606">
        <v>4.7550359840222002E-6</v>
      </c>
      <c r="R29" s="606">
        <v>1.4151374541689599E-6</v>
      </c>
      <c r="S29" s="606">
        <v>2.6349859396626001E-5</v>
      </c>
      <c r="T29" s="606">
        <v>3.2520032834817202E-5</v>
      </c>
      <c r="U29" s="606">
        <v>4.9619181393514803E-6</v>
      </c>
      <c r="V29" s="606">
        <v>8.1194717085264996E-9</v>
      </c>
      <c r="W29" s="606">
        <v>0</v>
      </c>
      <c r="X29" s="606">
        <v>4.9700376110600098E-6</v>
      </c>
      <c r="Y29" s="606">
        <v>5.6605498166758397E-6</v>
      </c>
      <c r="Z29" s="606">
        <v>6.1483005258794099E-5</v>
      </c>
      <c r="AA29" s="606">
        <v>7.2113592686529906E-5</v>
      </c>
      <c r="AB29" s="606">
        <v>0.35608455488929502</v>
      </c>
      <c r="AC29" s="606">
        <v>5.50166476542062E-3</v>
      </c>
      <c r="AD29" s="606">
        <v>0</v>
      </c>
      <c r="AE29" s="606">
        <v>0.36158621965471599</v>
      </c>
      <c r="AF29" s="606">
        <v>1.74477589952751E-7</v>
      </c>
      <c r="AG29" s="606">
        <v>2.61022887476316E-8</v>
      </c>
      <c r="AH29" s="606">
        <v>0</v>
      </c>
      <c r="AI29" s="606">
        <v>2.00579878700382E-7</v>
      </c>
      <c r="AJ29" s="606">
        <v>5.5971533259206002E-5</v>
      </c>
      <c r="AK29" s="606">
        <v>8.6478508593128399E-7</v>
      </c>
      <c r="AL29" s="606">
        <v>0</v>
      </c>
      <c r="AM29" s="606">
        <v>5.6836318345137302E-5</v>
      </c>
      <c r="AN29" s="606">
        <v>3.7564546661254299E-6</v>
      </c>
      <c r="AO29" s="606">
        <v>5.6197511892012504E-7</v>
      </c>
      <c r="AP29" s="606">
        <v>0</v>
      </c>
      <c r="AQ29" s="606">
        <v>4.31842978504555E-6</v>
      </c>
      <c r="AR29" s="606">
        <v>0</v>
      </c>
      <c r="AS29" s="606">
        <v>0</v>
      </c>
      <c r="AT29" s="606">
        <v>0</v>
      </c>
      <c r="AU29" s="606">
        <v>0</v>
      </c>
      <c r="AV29" s="606">
        <v>4.31842978504555E-6</v>
      </c>
      <c r="AW29" s="606">
        <v>4.2764376912137003E-6</v>
      </c>
      <c r="AX29" s="606">
        <v>6.39765894620297E-7</v>
      </c>
      <c r="AY29" s="606">
        <v>0</v>
      </c>
      <c r="AZ29" s="606">
        <v>4.9162035858339999E-6</v>
      </c>
      <c r="BA29" s="606">
        <v>0</v>
      </c>
      <c r="BB29" s="606">
        <v>0</v>
      </c>
      <c r="BC29" s="606">
        <v>0</v>
      </c>
      <c r="BD29" s="606">
        <v>0</v>
      </c>
      <c r="BE29" s="606">
        <v>4.9162035858339999E-6</v>
      </c>
      <c r="BF29" s="606">
        <v>3.1132632079324298E-5</v>
      </c>
      <c r="BG29" s="606">
        <v>2.3796750151052601E-5</v>
      </c>
      <c r="BH29" s="606">
        <v>0</v>
      </c>
      <c r="BI29" s="606">
        <v>5.4929382230376997E-5</v>
      </c>
      <c r="BJ29" s="606">
        <v>3.3641103116388902E-6</v>
      </c>
      <c r="BK29" s="606">
        <v>5.1977000727498502E-8</v>
      </c>
      <c r="BL29" s="606">
        <v>0</v>
      </c>
      <c r="BM29" s="606">
        <v>3.41608731236639E-6</v>
      </c>
      <c r="BN29" s="608">
        <v>3.2225659661208397E-2</v>
      </c>
      <c r="BO29" s="602"/>
    </row>
    <row r="30" spans="1:67">
      <c r="A30" s="607" t="s">
        <v>76</v>
      </c>
      <c r="B30" s="606">
        <v>2045</v>
      </c>
      <c r="C30" s="606" t="s">
        <v>162</v>
      </c>
      <c r="D30" s="606" t="s">
        <v>586</v>
      </c>
      <c r="E30" s="606" t="s">
        <v>586</v>
      </c>
      <c r="F30" s="606" t="s">
        <v>125</v>
      </c>
      <c r="G30" s="606">
        <v>431.59823908920202</v>
      </c>
      <c r="H30" s="606">
        <v>6692.1676474160704</v>
      </c>
      <c r="I30" s="606">
        <v>1309.18132392806</v>
      </c>
      <c r="J30" s="606">
        <v>9.7592521171167897E-3</v>
      </c>
      <c r="K30" s="606">
        <v>7.4669223386372996E-3</v>
      </c>
      <c r="L30" s="606">
        <v>4.4480067430450196E-3</v>
      </c>
      <c r="M30" s="606">
        <v>2.1674181198799099E-2</v>
      </c>
      <c r="N30" s="606">
        <v>3.35310732451765E-5</v>
      </c>
      <c r="O30" s="606">
        <v>2.0096829508642698E-6</v>
      </c>
      <c r="P30" s="606">
        <v>0</v>
      </c>
      <c r="Q30" s="606">
        <v>3.5540756196040798E-5</v>
      </c>
      <c r="R30" s="606">
        <v>2.21305562770469E-5</v>
      </c>
      <c r="S30" s="606">
        <v>4.12070957878614E-4</v>
      </c>
      <c r="T30" s="606">
        <v>4.6974227035170201E-4</v>
      </c>
      <c r="U30" s="606">
        <v>3.5047199585389501E-5</v>
      </c>
      <c r="V30" s="606">
        <v>2.1005518960663399E-6</v>
      </c>
      <c r="W30" s="606">
        <v>0</v>
      </c>
      <c r="X30" s="606">
        <v>3.7147751481455902E-5</v>
      </c>
      <c r="Y30" s="606">
        <v>8.8522225108187804E-5</v>
      </c>
      <c r="Z30" s="606">
        <v>9.6149890171676601E-4</v>
      </c>
      <c r="AA30" s="606">
        <v>1.0871688783064099E-3</v>
      </c>
      <c r="AB30" s="606">
        <v>6.3947107966298304</v>
      </c>
      <c r="AC30" s="606">
        <v>1.2429103761118601</v>
      </c>
      <c r="AD30" s="606">
        <v>0</v>
      </c>
      <c r="AE30" s="606">
        <v>7.6376211727416896</v>
      </c>
      <c r="AF30" s="606">
        <v>4.0296297973991498E-6</v>
      </c>
      <c r="AG30" s="606">
        <v>5.7060848126556499E-6</v>
      </c>
      <c r="AH30" s="606">
        <v>0</v>
      </c>
      <c r="AI30" s="606">
        <v>9.7357146100548099E-6</v>
      </c>
      <c r="AJ30" s="606">
        <v>1.00515948563915E-3</v>
      </c>
      <c r="AK30" s="606">
        <v>1.95368202578697E-4</v>
      </c>
      <c r="AL30" s="606">
        <v>0</v>
      </c>
      <c r="AM30" s="606">
        <v>1.20052768821785E-3</v>
      </c>
      <c r="AN30" s="606">
        <v>8.6756824525701507E-5</v>
      </c>
      <c r="AO30" s="606">
        <v>1.22850441283676E-4</v>
      </c>
      <c r="AP30" s="606">
        <v>0</v>
      </c>
      <c r="AQ30" s="606">
        <v>2.0960726580937701E-4</v>
      </c>
      <c r="AR30" s="606">
        <v>0</v>
      </c>
      <c r="AS30" s="606">
        <v>0</v>
      </c>
      <c r="AT30" s="606">
        <v>0</v>
      </c>
      <c r="AU30" s="606">
        <v>0</v>
      </c>
      <c r="AV30" s="606">
        <v>2.0960726580937701E-4</v>
      </c>
      <c r="AW30" s="606">
        <v>9.8766040681225406E-5</v>
      </c>
      <c r="AX30" s="606">
        <v>1.3985587586755799E-4</v>
      </c>
      <c r="AY30" s="606">
        <v>0</v>
      </c>
      <c r="AZ30" s="606">
        <v>2.38621916548784E-4</v>
      </c>
      <c r="BA30" s="606">
        <v>0</v>
      </c>
      <c r="BB30" s="606">
        <v>0</v>
      </c>
      <c r="BC30" s="606">
        <v>0</v>
      </c>
      <c r="BD30" s="606">
        <v>0</v>
      </c>
      <c r="BE30" s="606">
        <v>2.38621916548784E-4</v>
      </c>
      <c r="BF30" s="606">
        <v>8.5464805678854203E-4</v>
      </c>
      <c r="BG30" s="606">
        <v>5.1174230076015499E-3</v>
      </c>
      <c r="BH30" s="606">
        <v>0</v>
      </c>
      <c r="BI30" s="606">
        <v>5.9720710643900903E-3</v>
      </c>
      <c r="BJ30" s="606">
        <v>6.0414056817429499E-5</v>
      </c>
      <c r="BK30" s="606">
        <v>1.17424009418797E-5</v>
      </c>
      <c r="BL30" s="606">
        <v>0</v>
      </c>
      <c r="BM30" s="606">
        <v>7.2156457759309304E-5</v>
      </c>
      <c r="BN30" s="608">
        <v>0.68068794427244395</v>
      </c>
      <c r="BO30" s="602"/>
    </row>
    <row r="31" spans="1:67">
      <c r="A31" s="607" t="s">
        <v>76</v>
      </c>
      <c r="B31" s="606">
        <v>2045</v>
      </c>
      <c r="C31" s="606" t="s">
        <v>161</v>
      </c>
      <c r="D31" s="606" t="s">
        <v>586</v>
      </c>
      <c r="E31" s="606" t="s">
        <v>586</v>
      </c>
      <c r="F31" s="606" t="s">
        <v>125</v>
      </c>
      <c r="G31" s="606">
        <v>97.171312621960297</v>
      </c>
      <c r="H31" s="606">
        <v>1619.0571292048801</v>
      </c>
      <c r="I31" s="606">
        <v>1117.4700951525399</v>
      </c>
      <c r="J31" s="606">
        <v>1.66890103927683E-3</v>
      </c>
      <c r="K31" s="606">
        <v>8.4060586396501804E-4</v>
      </c>
      <c r="L31" s="606">
        <v>2.4300205622316902E-3</v>
      </c>
      <c r="M31" s="606">
        <v>4.9395274654735399E-3</v>
      </c>
      <c r="N31" s="606">
        <v>5.7777025613317803E-6</v>
      </c>
      <c r="O31" s="606">
        <v>2.0074458569573499E-7</v>
      </c>
      <c r="P31" s="606">
        <v>0</v>
      </c>
      <c r="Q31" s="606">
        <v>5.9784471470275102E-6</v>
      </c>
      <c r="R31" s="606">
        <v>5.3541149596659499E-6</v>
      </c>
      <c r="S31" s="606">
        <v>9.96936205489799E-5</v>
      </c>
      <c r="T31" s="606">
        <v>1.1102618265567299E-4</v>
      </c>
      <c r="U31" s="606">
        <v>6.0389446329798003E-6</v>
      </c>
      <c r="V31" s="606">
        <v>2.0982136506999E-7</v>
      </c>
      <c r="W31" s="606">
        <v>0</v>
      </c>
      <c r="X31" s="606">
        <v>6.2487659980497902E-6</v>
      </c>
      <c r="Y31" s="606">
        <v>2.1416459838663799E-5</v>
      </c>
      <c r="Z31" s="606">
        <v>2.3261844794762E-4</v>
      </c>
      <c r="AA31" s="606">
        <v>2.60283673784333E-4</v>
      </c>
      <c r="AB31" s="606">
        <v>1.40302509904526</v>
      </c>
      <c r="AC31" s="606">
        <v>0.141442199317143</v>
      </c>
      <c r="AD31" s="606">
        <v>0</v>
      </c>
      <c r="AE31" s="606">
        <v>1.5444672983623999</v>
      </c>
      <c r="AF31" s="606">
        <v>6.0210433186692399E-7</v>
      </c>
      <c r="AG31" s="606">
        <v>6.74528842895991E-7</v>
      </c>
      <c r="AH31" s="606">
        <v>0</v>
      </c>
      <c r="AI31" s="606">
        <v>1.2766331747629099E-6</v>
      </c>
      <c r="AJ31" s="606">
        <v>2.2053600729502899E-4</v>
      </c>
      <c r="AK31" s="606">
        <v>2.2232744034056801E-5</v>
      </c>
      <c r="AL31" s="606">
        <v>0</v>
      </c>
      <c r="AM31" s="606">
        <v>2.42768751329085E-4</v>
      </c>
      <c r="AN31" s="606">
        <v>1.2963141154966301E-5</v>
      </c>
      <c r="AO31" s="606">
        <v>1.45224210170429E-5</v>
      </c>
      <c r="AP31" s="606">
        <v>0</v>
      </c>
      <c r="AQ31" s="606">
        <v>2.7485562172009199E-5</v>
      </c>
      <c r="AR31" s="606">
        <v>0</v>
      </c>
      <c r="AS31" s="606">
        <v>0</v>
      </c>
      <c r="AT31" s="606">
        <v>0</v>
      </c>
      <c r="AU31" s="606">
        <v>0</v>
      </c>
      <c r="AV31" s="606">
        <v>2.7485562172009199E-5</v>
      </c>
      <c r="AW31" s="606">
        <v>1.47575494339189E-5</v>
      </c>
      <c r="AX31" s="606">
        <v>1.6532670862500599E-5</v>
      </c>
      <c r="AY31" s="606">
        <v>0</v>
      </c>
      <c r="AZ31" s="606">
        <v>3.12902202964195E-5</v>
      </c>
      <c r="BA31" s="606">
        <v>0</v>
      </c>
      <c r="BB31" s="606">
        <v>0</v>
      </c>
      <c r="BC31" s="606">
        <v>0</v>
      </c>
      <c r="BD31" s="606">
        <v>0</v>
      </c>
      <c r="BE31" s="606">
        <v>3.12902202964195E-5</v>
      </c>
      <c r="BF31" s="606">
        <v>1.5171665843429101E-4</v>
      </c>
      <c r="BG31" s="606">
        <v>6.1494968886707303E-4</v>
      </c>
      <c r="BH31" s="606">
        <v>0</v>
      </c>
      <c r="BI31" s="606">
        <v>7.6666634730136404E-4</v>
      </c>
      <c r="BJ31" s="606">
        <v>1.32550854519757E-5</v>
      </c>
      <c r="BK31" s="606">
        <v>1.33627576565801E-6</v>
      </c>
      <c r="BL31" s="606">
        <v>0</v>
      </c>
      <c r="BM31" s="606">
        <v>1.45913612176337E-5</v>
      </c>
      <c r="BN31" s="608">
        <v>0.13764760604654699</v>
      </c>
      <c r="BO31" s="602"/>
    </row>
    <row r="32" spans="1:67">
      <c r="A32" s="607" t="s">
        <v>76</v>
      </c>
      <c r="B32" s="606">
        <v>2045</v>
      </c>
      <c r="C32" s="606" t="s">
        <v>160</v>
      </c>
      <c r="D32" s="606" t="s">
        <v>586</v>
      </c>
      <c r="E32" s="606" t="s">
        <v>586</v>
      </c>
      <c r="F32" s="606" t="s">
        <v>125</v>
      </c>
      <c r="G32" s="606">
        <v>0.42822492403100798</v>
      </c>
      <c r="H32" s="606">
        <v>3.6004011844952699</v>
      </c>
      <c r="I32" s="606">
        <v>1.8841896657364301</v>
      </c>
      <c r="J32" s="606">
        <v>1.7055408701211598E-5</v>
      </c>
      <c r="K32" s="606">
        <v>4.0727954699262701E-6</v>
      </c>
      <c r="L32" s="606">
        <v>1.3731001245765501E-5</v>
      </c>
      <c r="M32" s="606">
        <v>3.4859205416903403E-5</v>
      </c>
      <c r="N32" s="606">
        <v>1.8397319548584301E-7</v>
      </c>
      <c r="O32" s="606">
        <v>1.4033483581085099E-9</v>
      </c>
      <c r="P32" s="606">
        <v>0</v>
      </c>
      <c r="Q32" s="606">
        <v>1.8537654384395101E-7</v>
      </c>
      <c r="R32" s="606">
        <v>3.5718866545812302E-8</v>
      </c>
      <c r="S32" s="606">
        <v>1.05013467644688E-7</v>
      </c>
      <c r="T32" s="606">
        <v>3.2610887803445201E-7</v>
      </c>
      <c r="U32" s="606">
        <v>1.9229164701674799E-7</v>
      </c>
      <c r="V32" s="606">
        <v>1.4668015435960599E-9</v>
      </c>
      <c r="W32" s="606">
        <v>0</v>
      </c>
      <c r="X32" s="606">
        <v>1.93758448560344E-7</v>
      </c>
      <c r="Y32" s="606">
        <v>1.42875466183249E-7</v>
      </c>
      <c r="Z32" s="606">
        <v>2.4503142450427201E-7</v>
      </c>
      <c r="AA32" s="606">
        <v>5.8166533924786696E-7</v>
      </c>
      <c r="AB32" s="606">
        <v>6.45885150438662E-3</v>
      </c>
      <c r="AC32" s="606">
        <v>9.7228867183433401E-4</v>
      </c>
      <c r="AD32" s="606">
        <v>0</v>
      </c>
      <c r="AE32" s="606">
        <v>7.4311401762209503E-3</v>
      </c>
      <c r="AF32" s="606">
        <v>4.6333692997829597E-9</v>
      </c>
      <c r="AG32" s="606">
        <v>1.60084464690845E-8</v>
      </c>
      <c r="AH32" s="606">
        <v>0</v>
      </c>
      <c r="AI32" s="606">
        <v>2.0641815768867501E-8</v>
      </c>
      <c r="AJ32" s="606">
        <v>1.0152415116865699E-6</v>
      </c>
      <c r="AK32" s="606">
        <v>1.5283023929539299E-7</v>
      </c>
      <c r="AL32" s="606">
        <v>0</v>
      </c>
      <c r="AM32" s="606">
        <v>1.1680717509819599E-6</v>
      </c>
      <c r="AN32" s="606">
        <v>9.9755170453497102E-8</v>
      </c>
      <c r="AO32" s="606">
        <v>3.4465746261451999E-7</v>
      </c>
      <c r="AP32" s="606">
        <v>0</v>
      </c>
      <c r="AQ32" s="606">
        <v>4.4441263306801703E-7</v>
      </c>
      <c r="AR32" s="606">
        <v>0</v>
      </c>
      <c r="AS32" s="606">
        <v>0</v>
      </c>
      <c r="AT32" s="606">
        <v>0</v>
      </c>
      <c r="AU32" s="606">
        <v>0</v>
      </c>
      <c r="AV32" s="606">
        <v>4.4441263306801703E-7</v>
      </c>
      <c r="AW32" s="606">
        <v>1.1356366806917701E-7</v>
      </c>
      <c r="AX32" s="606">
        <v>3.9236628541641901E-7</v>
      </c>
      <c r="AY32" s="606">
        <v>0</v>
      </c>
      <c r="AZ32" s="606">
        <v>5.0592995348559702E-7</v>
      </c>
      <c r="BA32" s="606">
        <v>0</v>
      </c>
      <c r="BB32" s="606">
        <v>0</v>
      </c>
      <c r="BC32" s="606">
        <v>0</v>
      </c>
      <c r="BD32" s="606">
        <v>0</v>
      </c>
      <c r="BE32" s="606">
        <v>5.0592995348559702E-7</v>
      </c>
      <c r="BF32" s="606">
        <v>8.4851731782720797E-7</v>
      </c>
      <c r="BG32" s="606">
        <v>5.09259652290739E-6</v>
      </c>
      <c r="BH32" s="606">
        <v>0</v>
      </c>
      <c r="BI32" s="606">
        <v>5.9411138407346003E-6</v>
      </c>
      <c r="BJ32" s="606">
        <v>6.1020026420428802E-8</v>
      </c>
      <c r="BK32" s="606">
        <v>9.1857012664435005E-9</v>
      </c>
      <c r="BL32" s="606">
        <v>0</v>
      </c>
      <c r="BM32" s="606">
        <v>7.0205727686872294E-8</v>
      </c>
      <c r="BN32" s="608">
        <v>6.6228573213411004E-4</v>
      </c>
      <c r="BO32" s="602"/>
    </row>
    <row r="33" spans="1:67">
      <c r="A33" s="607" t="s">
        <v>76</v>
      </c>
      <c r="B33" s="606">
        <v>2045</v>
      </c>
      <c r="C33" s="606" t="s">
        <v>159</v>
      </c>
      <c r="D33" s="606" t="s">
        <v>586</v>
      </c>
      <c r="E33" s="606" t="s">
        <v>586</v>
      </c>
      <c r="F33" s="606" t="s">
        <v>125</v>
      </c>
      <c r="G33" s="606">
        <v>85.222408672939906</v>
      </c>
      <c r="H33" s="606">
        <v>17731.001575869701</v>
      </c>
      <c r="I33" s="606">
        <v>1244.2471666249201</v>
      </c>
      <c r="J33" s="606">
        <v>3.9980505378109599E-2</v>
      </c>
      <c r="K33" s="606">
        <v>1.15830550652896E-2</v>
      </c>
      <c r="L33" s="606">
        <v>3.0641793705571802E-3</v>
      </c>
      <c r="M33" s="606">
        <v>5.4627739813956501E-2</v>
      </c>
      <c r="N33" s="606">
        <v>5.2379097665919796E-4</v>
      </c>
      <c r="O33" s="606">
        <v>3.9911312580714899E-6</v>
      </c>
      <c r="P33" s="606">
        <v>0</v>
      </c>
      <c r="Q33" s="606">
        <v>5.2778210791727003E-4</v>
      </c>
      <c r="R33" s="606">
        <v>1.7590575231989401E-4</v>
      </c>
      <c r="S33" s="606">
        <v>5.1716291182048895E-4</v>
      </c>
      <c r="T33" s="606">
        <v>1.2208507720576499E-3</v>
      </c>
      <c r="U33" s="606">
        <v>5.4747448033569195E-4</v>
      </c>
      <c r="V33" s="606">
        <v>4.1715925031788201E-6</v>
      </c>
      <c r="W33" s="606">
        <v>0</v>
      </c>
      <c r="X33" s="606">
        <v>5.5164607283887104E-4</v>
      </c>
      <c r="Y33" s="606">
        <v>7.0362300927957798E-4</v>
      </c>
      <c r="Z33" s="606">
        <v>1.2067134609144701E-3</v>
      </c>
      <c r="AA33" s="606">
        <v>2.46198254303292E-3</v>
      </c>
      <c r="AB33" s="606">
        <v>18.373844616845702</v>
      </c>
      <c r="AC33" s="606">
        <v>1.8263318693770501</v>
      </c>
      <c r="AD33" s="606">
        <v>0</v>
      </c>
      <c r="AE33" s="606">
        <v>20.200176486222801</v>
      </c>
      <c r="AF33" s="606">
        <v>1.81236904391099E-5</v>
      </c>
      <c r="AG33" s="606">
        <v>4.5528119035278903E-5</v>
      </c>
      <c r="AH33" s="606">
        <v>0</v>
      </c>
      <c r="AI33" s="606">
        <v>6.3651809474388904E-5</v>
      </c>
      <c r="AJ33" s="606">
        <v>2.8881125029165998E-3</v>
      </c>
      <c r="AK33" s="606">
        <v>2.8707393669732701E-4</v>
      </c>
      <c r="AL33" s="606">
        <v>0</v>
      </c>
      <c r="AM33" s="606">
        <v>3.1751864396139199E-3</v>
      </c>
      <c r="AN33" s="606">
        <v>3.9019808524317501E-4</v>
      </c>
      <c r="AO33" s="606">
        <v>9.8020791802718907E-4</v>
      </c>
      <c r="AP33" s="606">
        <v>0</v>
      </c>
      <c r="AQ33" s="606">
        <v>1.3704060032703599E-3</v>
      </c>
      <c r="AR33" s="606">
        <v>0</v>
      </c>
      <c r="AS33" s="606">
        <v>0</v>
      </c>
      <c r="AT33" s="606">
        <v>0</v>
      </c>
      <c r="AU33" s="606">
        <v>0</v>
      </c>
      <c r="AV33" s="606">
        <v>1.3704060032703599E-3</v>
      </c>
      <c r="AW33" s="606">
        <v>4.4421081766826101E-4</v>
      </c>
      <c r="AX33" s="606">
        <v>1.11589209998404E-3</v>
      </c>
      <c r="AY33" s="606">
        <v>0</v>
      </c>
      <c r="AZ33" s="606">
        <v>1.5601029176522999E-3</v>
      </c>
      <c r="BA33" s="606">
        <v>0</v>
      </c>
      <c r="BB33" s="606">
        <v>0</v>
      </c>
      <c r="BC33" s="606">
        <v>0</v>
      </c>
      <c r="BD33" s="606">
        <v>0</v>
      </c>
      <c r="BE33" s="606">
        <v>1.5601029176522999E-3</v>
      </c>
      <c r="BF33" s="606">
        <v>3.6260446039821301E-3</v>
      </c>
      <c r="BG33" s="606">
        <v>1.4483375456908599E-2</v>
      </c>
      <c r="BH33" s="606">
        <v>0</v>
      </c>
      <c r="BI33" s="606">
        <v>1.81094200608908E-2</v>
      </c>
      <c r="BJ33" s="606">
        <v>1.73586973350187E-4</v>
      </c>
      <c r="BK33" s="606">
        <v>1.7254277923276401E-5</v>
      </c>
      <c r="BL33" s="606">
        <v>0</v>
      </c>
      <c r="BM33" s="606">
        <v>1.90841251273464E-4</v>
      </c>
      <c r="BN33" s="608">
        <v>1.80030094388822</v>
      </c>
      <c r="BO33" s="602"/>
    </row>
    <row r="34" spans="1:67">
      <c r="A34" s="607" t="s">
        <v>76</v>
      </c>
      <c r="B34" s="606">
        <v>2045</v>
      </c>
      <c r="C34" s="606" t="s">
        <v>158</v>
      </c>
      <c r="D34" s="606" t="s">
        <v>586</v>
      </c>
      <c r="E34" s="606" t="s">
        <v>586</v>
      </c>
      <c r="F34" s="606" t="s">
        <v>125</v>
      </c>
      <c r="G34" s="606">
        <v>9.6204230294980597</v>
      </c>
      <c r="H34" s="606">
        <v>1680.0287708436199</v>
      </c>
      <c r="I34" s="606">
        <v>43.493558475173401</v>
      </c>
      <c r="J34" s="606">
        <v>7.4032635486253997E-3</v>
      </c>
      <c r="K34" s="606">
        <v>1.9980292907758801E-4</v>
      </c>
      <c r="L34" s="606">
        <v>2.18946610223101E-4</v>
      </c>
      <c r="M34" s="606">
        <v>7.8220130879260892E-3</v>
      </c>
      <c r="N34" s="606">
        <v>3.7195725025762299E-5</v>
      </c>
      <c r="O34" s="606">
        <v>6.8845370344949096E-8</v>
      </c>
      <c r="P34" s="606">
        <v>0</v>
      </c>
      <c r="Q34" s="606">
        <v>3.7264570396107199E-5</v>
      </c>
      <c r="R34" s="606">
        <v>1.66672324510139E-5</v>
      </c>
      <c r="S34" s="606">
        <v>4.90016634059809E-5</v>
      </c>
      <c r="T34" s="606">
        <v>1.02933466253102E-4</v>
      </c>
      <c r="U34" s="606">
        <v>3.8877550657841903E-5</v>
      </c>
      <c r="V34" s="606">
        <v>7.1958252495141304E-8</v>
      </c>
      <c r="W34" s="606">
        <v>0</v>
      </c>
      <c r="X34" s="606">
        <v>3.8949508910337099E-5</v>
      </c>
      <c r="Y34" s="606">
        <v>6.6668929804055696E-5</v>
      </c>
      <c r="Z34" s="606">
        <v>1.14337214613955E-4</v>
      </c>
      <c r="AA34" s="606">
        <v>2.19955653328348E-4</v>
      </c>
      <c r="AB34" s="606">
        <v>2.36252172674839</v>
      </c>
      <c r="AC34" s="606">
        <v>3.1441028594383198E-2</v>
      </c>
      <c r="AD34" s="606">
        <v>0</v>
      </c>
      <c r="AE34" s="606">
        <v>2.3939627553427698</v>
      </c>
      <c r="AF34" s="606">
        <v>3.0457002351786702E-6</v>
      </c>
      <c r="AG34" s="606">
        <v>7.8534130135505495E-7</v>
      </c>
      <c r="AH34" s="606">
        <v>0</v>
      </c>
      <c r="AI34" s="606">
        <v>3.8310415365337198E-6</v>
      </c>
      <c r="AJ34" s="606">
        <v>3.7135551539270001E-4</v>
      </c>
      <c r="AK34" s="606">
        <v>4.94209185293443E-6</v>
      </c>
      <c r="AL34" s="606">
        <v>0</v>
      </c>
      <c r="AM34" s="606">
        <v>3.7629760724563398E-4</v>
      </c>
      <c r="AN34" s="606">
        <v>6.5573090866021796E-5</v>
      </c>
      <c r="AO34" s="606">
        <v>1.6908182860475702E-5</v>
      </c>
      <c r="AP34" s="606">
        <v>0</v>
      </c>
      <c r="AQ34" s="606">
        <v>8.2481273726497494E-5</v>
      </c>
      <c r="AR34" s="606">
        <v>0</v>
      </c>
      <c r="AS34" s="606">
        <v>0</v>
      </c>
      <c r="AT34" s="606">
        <v>0</v>
      </c>
      <c r="AU34" s="606">
        <v>0</v>
      </c>
      <c r="AV34" s="606">
        <v>8.2481273726497494E-5</v>
      </c>
      <c r="AW34" s="606">
        <v>7.4649972442785594E-5</v>
      </c>
      <c r="AX34" s="606">
        <v>1.9248679113982801E-5</v>
      </c>
      <c r="AY34" s="606">
        <v>0</v>
      </c>
      <c r="AZ34" s="606">
        <v>9.3898651556768406E-5</v>
      </c>
      <c r="BA34" s="606">
        <v>0</v>
      </c>
      <c r="BB34" s="606">
        <v>0</v>
      </c>
      <c r="BC34" s="606">
        <v>0</v>
      </c>
      <c r="BD34" s="606">
        <v>0</v>
      </c>
      <c r="BE34" s="606">
        <v>9.3898651556768406E-5</v>
      </c>
      <c r="BF34" s="606">
        <v>9.1359833758797001E-4</v>
      </c>
      <c r="BG34" s="606">
        <v>2.49832261256581E-4</v>
      </c>
      <c r="BH34" s="606">
        <v>0</v>
      </c>
      <c r="BI34" s="606">
        <v>1.1634305988445499E-3</v>
      </c>
      <c r="BJ34" s="606">
        <v>2.2319933828346201E-5</v>
      </c>
      <c r="BK34" s="606">
        <v>2.9703924826445098E-7</v>
      </c>
      <c r="BL34" s="606">
        <v>0</v>
      </c>
      <c r="BM34" s="606">
        <v>2.2616973076610701E-5</v>
      </c>
      <c r="BN34" s="608">
        <v>0.21335721551820599</v>
      </c>
      <c r="BO34" s="602"/>
    </row>
    <row r="35" spans="1:67">
      <c r="A35" s="607" t="s">
        <v>76</v>
      </c>
      <c r="B35" s="606">
        <v>2045</v>
      </c>
      <c r="C35" s="606" t="s">
        <v>157</v>
      </c>
      <c r="D35" s="606" t="s">
        <v>586</v>
      </c>
      <c r="E35" s="606" t="s">
        <v>586</v>
      </c>
      <c r="F35" s="606" t="s">
        <v>125</v>
      </c>
      <c r="G35" s="606">
        <v>132.993374335098</v>
      </c>
      <c r="H35" s="606">
        <v>21666.498541078599</v>
      </c>
      <c r="I35" s="606">
        <v>1941.7032652924399</v>
      </c>
      <c r="J35" s="606">
        <v>4.4531607957628297E-2</v>
      </c>
      <c r="K35" s="606">
        <v>2.2434596221551799E-2</v>
      </c>
      <c r="L35" s="606">
        <v>4.7818679173629803E-3</v>
      </c>
      <c r="M35" s="606">
        <v>7.1748072096543103E-2</v>
      </c>
      <c r="N35" s="606">
        <v>5.6208261355115898E-4</v>
      </c>
      <c r="O35" s="606">
        <v>7.7302074225966603E-6</v>
      </c>
      <c r="P35" s="606">
        <v>0</v>
      </c>
      <c r="Q35" s="606">
        <v>5.6981282097375604E-4</v>
      </c>
      <c r="R35" s="606">
        <v>2.1494903768961901E-4</v>
      </c>
      <c r="S35" s="606">
        <v>6.3195017080748203E-4</v>
      </c>
      <c r="T35" s="606">
        <v>1.4167120294708499E-3</v>
      </c>
      <c r="U35" s="606">
        <v>5.8749749513128501E-4</v>
      </c>
      <c r="V35" s="606">
        <v>8.07973309995908E-6</v>
      </c>
      <c r="W35" s="606">
        <v>0</v>
      </c>
      <c r="X35" s="606">
        <v>5.9557722823124404E-4</v>
      </c>
      <c r="Y35" s="606">
        <v>8.5979615075847896E-4</v>
      </c>
      <c r="Z35" s="606">
        <v>1.4745503985507901E-3</v>
      </c>
      <c r="AA35" s="606">
        <v>2.9299237775405099E-3</v>
      </c>
      <c r="AB35" s="606">
        <v>22.460224176501601</v>
      </c>
      <c r="AC35" s="606">
        <v>3.5422577295213</v>
      </c>
      <c r="AD35" s="606">
        <v>0</v>
      </c>
      <c r="AE35" s="606">
        <v>26.002481906022901</v>
      </c>
      <c r="AF35" s="606">
        <v>2.0803196997164899E-5</v>
      </c>
      <c r="AG35" s="606">
        <v>8.8180964480089597E-5</v>
      </c>
      <c r="AH35" s="606">
        <v>0</v>
      </c>
      <c r="AI35" s="606">
        <v>1.08984161477254E-4</v>
      </c>
      <c r="AJ35" s="606">
        <v>3.5304344635085898E-3</v>
      </c>
      <c r="AK35" s="606">
        <v>5.5679358623746198E-4</v>
      </c>
      <c r="AL35" s="606">
        <v>0</v>
      </c>
      <c r="AM35" s="606">
        <v>4.0872280497460502E-3</v>
      </c>
      <c r="AN35" s="606">
        <v>4.4788712665901E-4</v>
      </c>
      <c r="AO35" s="606">
        <v>1.89851198411427E-3</v>
      </c>
      <c r="AP35" s="606">
        <v>0</v>
      </c>
      <c r="AQ35" s="606">
        <v>2.3463991107732802E-3</v>
      </c>
      <c r="AR35" s="606">
        <v>0</v>
      </c>
      <c r="AS35" s="606">
        <v>0</v>
      </c>
      <c r="AT35" s="606">
        <v>0</v>
      </c>
      <c r="AU35" s="606">
        <v>0</v>
      </c>
      <c r="AV35" s="606">
        <v>2.3463991107732802E-3</v>
      </c>
      <c r="AW35" s="606">
        <v>5.0988539995601195E-4</v>
      </c>
      <c r="AX35" s="606">
        <v>2.1613113767352701E-3</v>
      </c>
      <c r="AY35" s="606">
        <v>0</v>
      </c>
      <c r="AZ35" s="606">
        <v>2.6711967766912801E-3</v>
      </c>
      <c r="BA35" s="606">
        <v>0</v>
      </c>
      <c r="BB35" s="606">
        <v>0</v>
      </c>
      <c r="BC35" s="606">
        <v>0</v>
      </c>
      <c r="BD35" s="606">
        <v>0</v>
      </c>
      <c r="BE35" s="606">
        <v>2.6711967766912801E-3</v>
      </c>
      <c r="BF35" s="606">
        <v>4.1621393353607197E-3</v>
      </c>
      <c r="BG35" s="606">
        <v>2.80520707593436E-2</v>
      </c>
      <c r="BH35" s="606">
        <v>0</v>
      </c>
      <c r="BI35" s="606">
        <v>3.2214210094704397E-2</v>
      </c>
      <c r="BJ35" s="606">
        <v>2.1219306121654399E-4</v>
      </c>
      <c r="BK35" s="606">
        <v>3.3465494615653799E-5</v>
      </c>
      <c r="BL35" s="606">
        <v>0</v>
      </c>
      <c r="BM35" s="606">
        <v>2.4565855583219797E-4</v>
      </c>
      <c r="BN35" s="608">
        <v>2.3174199864430398</v>
      </c>
      <c r="BO35" s="602"/>
    </row>
    <row r="36" spans="1:67">
      <c r="A36" s="607" t="s">
        <v>76</v>
      </c>
      <c r="B36" s="606">
        <v>2045</v>
      </c>
      <c r="C36" s="606" t="s">
        <v>156</v>
      </c>
      <c r="D36" s="606" t="s">
        <v>586</v>
      </c>
      <c r="E36" s="606" t="s">
        <v>586</v>
      </c>
      <c r="F36" s="606" t="s">
        <v>125</v>
      </c>
      <c r="G36" s="606">
        <v>33.859813367194</v>
      </c>
      <c r="H36" s="606">
        <v>6965.6335014433098</v>
      </c>
      <c r="I36" s="606">
        <v>494.35327516103303</v>
      </c>
      <c r="J36" s="606">
        <v>1.57357367161781E-2</v>
      </c>
      <c r="K36" s="606">
        <v>5.7117976352422202E-3</v>
      </c>
      <c r="L36" s="606">
        <v>1.2174187067822699E-3</v>
      </c>
      <c r="M36" s="606">
        <v>2.2664953058202601E-2</v>
      </c>
      <c r="N36" s="606">
        <v>2.0627224416084201E-4</v>
      </c>
      <c r="O36" s="606">
        <v>1.96809338756467E-6</v>
      </c>
      <c r="P36" s="606">
        <v>0</v>
      </c>
      <c r="Q36" s="606">
        <v>2.08240337548407E-4</v>
      </c>
      <c r="R36" s="606">
        <v>6.9104669367553296E-5</v>
      </c>
      <c r="S36" s="606">
        <v>2.0316772794060599E-4</v>
      </c>
      <c r="T36" s="606">
        <v>4.8051273485656698E-4</v>
      </c>
      <c r="U36" s="606">
        <v>2.15598959722268E-4</v>
      </c>
      <c r="V36" s="606">
        <v>2.05708183726528E-6</v>
      </c>
      <c r="W36" s="606">
        <v>0</v>
      </c>
      <c r="X36" s="606">
        <v>2.1765604155953399E-4</v>
      </c>
      <c r="Y36" s="606">
        <v>2.7641867747021302E-4</v>
      </c>
      <c r="Z36" s="606">
        <v>4.74058031861415E-4</v>
      </c>
      <c r="AA36" s="606">
        <v>9.6813275089116296E-4</v>
      </c>
      <c r="AB36" s="606">
        <v>7.2213370968657804</v>
      </c>
      <c r="AC36" s="606">
        <v>0.90117384965349501</v>
      </c>
      <c r="AD36" s="606">
        <v>0</v>
      </c>
      <c r="AE36" s="606">
        <v>8.1225109465192702</v>
      </c>
      <c r="AF36" s="606">
        <v>7.1285430317872904E-6</v>
      </c>
      <c r="AG36" s="606">
        <v>2.2450674815662602E-5</v>
      </c>
      <c r="AH36" s="606">
        <v>0</v>
      </c>
      <c r="AI36" s="606">
        <v>2.95792178474499E-5</v>
      </c>
      <c r="AJ36" s="606">
        <v>1.13509362858723E-3</v>
      </c>
      <c r="AK36" s="606">
        <v>1.4165197958077301E-4</v>
      </c>
      <c r="AL36" s="606">
        <v>0</v>
      </c>
      <c r="AM36" s="606">
        <v>1.27674560816801E-3</v>
      </c>
      <c r="AN36" s="606">
        <v>1.5347557667253899E-4</v>
      </c>
      <c r="AO36" s="606">
        <v>4.83356872316948E-4</v>
      </c>
      <c r="AP36" s="606">
        <v>0</v>
      </c>
      <c r="AQ36" s="606">
        <v>6.3683244898948702E-4</v>
      </c>
      <c r="AR36" s="606">
        <v>0</v>
      </c>
      <c r="AS36" s="606">
        <v>0</v>
      </c>
      <c r="AT36" s="606">
        <v>0</v>
      </c>
      <c r="AU36" s="606">
        <v>0</v>
      </c>
      <c r="AV36" s="606">
        <v>6.3683244898948702E-4</v>
      </c>
      <c r="AW36" s="606">
        <v>1.7472026128300601E-4</v>
      </c>
      <c r="AX36" s="606">
        <v>5.5026500538482603E-4</v>
      </c>
      <c r="AY36" s="606">
        <v>0</v>
      </c>
      <c r="AZ36" s="606">
        <v>7.2498526666783304E-4</v>
      </c>
      <c r="BA36" s="606">
        <v>0</v>
      </c>
      <c r="BB36" s="606">
        <v>0</v>
      </c>
      <c r="BC36" s="606">
        <v>0</v>
      </c>
      <c r="BD36" s="606">
        <v>0</v>
      </c>
      <c r="BE36" s="606">
        <v>7.2498526666783304E-4</v>
      </c>
      <c r="BF36" s="606">
        <v>1.4262224889676899E-3</v>
      </c>
      <c r="BG36" s="606">
        <v>7.14199399198206E-3</v>
      </c>
      <c r="BH36" s="606">
        <v>0</v>
      </c>
      <c r="BI36" s="606">
        <v>8.5682164809497592E-3</v>
      </c>
      <c r="BJ36" s="606">
        <v>6.8223612223055604E-5</v>
      </c>
      <c r="BK36" s="606">
        <v>8.5138436884496896E-6</v>
      </c>
      <c r="BL36" s="606">
        <v>0</v>
      </c>
      <c r="BM36" s="606">
        <v>7.6737455911505306E-5</v>
      </c>
      <c r="BN36" s="608">
        <v>0.72390279034118499</v>
      </c>
      <c r="BO36" s="602"/>
    </row>
    <row r="37" spans="1:67">
      <c r="A37" s="607" t="s">
        <v>76</v>
      </c>
      <c r="B37" s="606">
        <v>2045</v>
      </c>
      <c r="C37" s="606" t="s">
        <v>155</v>
      </c>
      <c r="D37" s="606" t="s">
        <v>586</v>
      </c>
      <c r="E37" s="606" t="s">
        <v>586</v>
      </c>
      <c r="F37" s="606" t="s">
        <v>125</v>
      </c>
      <c r="G37" s="606">
        <v>11.945034655832901</v>
      </c>
      <c r="H37" s="606">
        <v>2027.70497487332</v>
      </c>
      <c r="I37" s="606">
        <v>90.782263384330406</v>
      </c>
      <c r="J37" s="606">
        <v>8.7844814319825004E-3</v>
      </c>
      <c r="K37" s="606">
        <v>2.55487004687343E-4</v>
      </c>
      <c r="L37" s="606">
        <v>1.78762726873309E-4</v>
      </c>
      <c r="M37" s="606">
        <v>9.2187311635431504E-3</v>
      </c>
      <c r="N37" s="606">
        <v>3.30925105993855E-5</v>
      </c>
      <c r="O37" s="606">
        <v>8.80322302441901E-8</v>
      </c>
      <c r="P37" s="606">
        <v>0</v>
      </c>
      <c r="Q37" s="606">
        <v>3.31805428296297E-5</v>
      </c>
      <c r="R37" s="606">
        <v>2.0116459161184601E-5</v>
      </c>
      <c r="S37" s="606">
        <v>5.9142389933882801E-5</v>
      </c>
      <c r="T37" s="606">
        <v>1.12439391924697E-4</v>
      </c>
      <c r="U37" s="606">
        <v>3.4588807082848803E-5</v>
      </c>
      <c r="V37" s="606">
        <v>9.2012657058596195E-8</v>
      </c>
      <c r="W37" s="606">
        <v>0</v>
      </c>
      <c r="X37" s="606">
        <v>3.4680819739907403E-5</v>
      </c>
      <c r="Y37" s="606">
        <v>8.0465836644738498E-5</v>
      </c>
      <c r="Z37" s="606">
        <v>1.3799890984572601E-4</v>
      </c>
      <c r="AA37" s="606">
        <v>2.5314556623037197E-4</v>
      </c>
      <c r="AB37" s="606">
        <v>2.5714284007491002</v>
      </c>
      <c r="AC37" s="606">
        <v>3.9925808740310098E-2</v>
      </c>
      <c r="AD37" s="606">
        <v>0</v>
      </c>
      <c r="AE37" s="606">
        <v>2.6113542094894102</v>
      </c>
      <c r="AF37" s="606">
        <v>2.9918308253412101E-6</v>
      </c>
      <c r="AG37" s="606">
        <v>1.0042119886167801E-6</v>
      </c>
      <c r="AH37" s="606">
        <v>0</v>
      </c>
      <c r="AI37" s="606">
        <v>3.9960428139579897E-6</v>
      </c>
      <c r="AJ37" s="606">
        <v>4.0419273534888697E-4</v>
      </c>
      <c r="AK37" s="606">
        <v>6.27578113435368E-6</v>
      </c>
      <c r="AL37" s="606">
        <v>0</v>
      </c>
      <c r="AM37" s="606">
        <v>4.1046851648324098E-4</v>
      </c>
      <c r="AN37" s="606">
        <v>6.4413297244387397E-5</v>
      </c>
      <c r="AO37" s="606">
        <v>2.16204087381087E-5</v>
      </c>
      <c r="AP37" s="606">
        <v>0</v>
      </c>
      <c r="AQ37" s="606">
        <v>8.6033705982496104E-5</v>
      </c>
      <c r="AR37" s="606">
        <v>0</v>
      </c>
      <c r="AS37" s="606">
        <v>0</v>
      </c>
      <c r="AT37" s="606">
        <v>0</v>
      </c>
      <c r="AU37" s="606">
        <v>0</v>
      </c>
      <c r="AV37" s="606">
        <v>8.6033705982496104E-5</v>
      </c>
      <c r="AW37" s="606">
        <v>7.3329635689539896E-5</v>
      </c>
      <c r="AX37" s="606">
        <v>2.4613189574961499E-5</v>
      </c>
      <c r="AY37" s="606">
        <v>0</v>
      </c>
      <c r="AZ37" s="606">
        <v>9.7942825264501395E-5</v>
      </c>
      <c r="BA37" s="606">
        <v>0</v>
      </c>
      <c r="BB37" s="606">
        <v>0</v>
      </c>
      <c r="BC37" s="606">
        <v>0</v>
      </c>
      <c r="BD37" s="606">
        <v>0</v>
      </c>
      <c r="BE37" s="606">
        <v>9.7942825264501395E-5</v>
      </c>
      <c r="BF37" s="606">
        <v>9.1953022384712595E-4</v>
      </c>
      <c r="BG37" s="606">
        <v>3.1945926116990598E-4</v>
      </c>
      <c r="BH37" s="606">
        <v>0</v>
      </c>
      <c r="BI37" s="606">
        <v>1.23898948501703E-3</v>
      </c>
      <c r="BJ37" s="606">
        <v>2.4293580498852501E-5</v>
      </c>
      <c r="BK37" s="606">
        <v>3.77199243942376E-7</v>
      </c>
      <c r="BL37" s="606">
        <v>0</v>
      </c>
      <c r="BM37" s="606">
        <v>2.4670779742794901E-5</v>
      </c>
      <c r="BN37" s="608">
        <v>0.23273180070365501</v>
      </c>
      <c r="BO37" s="602"/>
    </row>
    <row r="38" spans="1:67">
      <c r="A38" s="607" t="s">
        <v>76</v>
      </c>
      <c r="B38" s="606">
        <v>2045</v>
      </c>
      <c r="C38" s="606" t="s">
        <v>154</v>
      </c>
      <c r="D38" s="606" t="s">
        <v>586</v>
      </c>
      <c r="E38" s="606" t="s">
        <v>586</v>
      </c>
      <c r="F38" s="606" t="s">
        <v>125</v>
      </c>
      <c r="G38" s="606">
        <v>113.636812691779</v>
      </c>
      <c r="H38" s="606">
        <v>19466.046502882698</v>
      </c>
      <c r="I38" s="606">
        <v>863.63977645752402</v>
      </c>
      <c r="J38" s="606">
        <v>8.52246519354799E-2</v>
      </c>
      <c r="K38" s="606">
        <v>3.8807808242838399E-3</v>
      </c>
      <c r="L38" s="606">
        <v>1.7006251631136401E-3</v>
      </c>
      <c r="M38" s="606">
        <v>9.0806057922877298E-2</v>
      </c>
      <c r="N38" s="606">
        <v>3.2218715378329403E-4</v>
      </c>
      <c r="O38" s="606">
        <v>1.3371865683292699E-6</v>
      </c>
      <c r="P38" s="606">
        <v>0</v>
      </c>
      <c r="Q38" s="606">
        <v>3.2352434035162303E-4</v>
      </c>
      <c r="R38" s="606">
        <v>1.9311878915196899E-4</v>
      </c>
      <c r="S38" s="606">
        <v>5.6776924010679098E-4</v>
      </c>
      <c r="T38" s="606">
        <v>1.0844123696103799E-3</v>
      </c>
      <c r="U38" s="606">
        <v>3.3675502719305401E-4</v>
      </c>
      <c r="V38" s="606">
        <v>1.3976482112716001E-6</v>
      </c>
      <c r="W38" s="606">
        <v>0</v>
      </c>
      <c r="X38" s="606">
        <v>3.3815267540432501E-4</v>
      </c>
      <c r="Y38" s="606">
        <v>7.7247515660787901E-4</v>
      </c>
      <c r="Z38" s="606">
        <v>1.3247948935825101E-3</v>
      </c>
      <c r="AA38" s="606">
        <v>2.4354227255947102E-3</v>
      </c>
      <c r="AB38" s="606">
        <v>24.685812506300401</v>
      </c>
      <c r="AC38" s="606">
        <v>0.60646259931316104</v>
      </c>
      <c r="AD38" s="606">
        <v>0</v>
      </c>
      <c r="AE38" s="606">
        <v>25.292275105613498</v>
      </c>
      <c r="AF38" s="606">
        <v>2.8936048549053201E-5</v>
      </c>
      <c r="AG38" s="606">
        <v>1.5253717635106801E-5</v>
      </c>
      <c r="AH38" s="606">
        <v>0</v>
      </c>
      <c r="AI38" s="606">
        <v>4.4189766184160001E-5</v>
      </c>
      <c r="AJ38" s="606">
        <v>3.8802659558106402E-3</v>
      </c>
      <c r="AK38" s="606">
        <v>9.5327475123076696E-5</v>
      </c>
      <c r="AL38" s="606">
        <v>0</v>
      </c>
      <c r="AM38" s="606">
        <v>3.9755934309337101E-3</v>
      </c>
      <c r="AN38" s="606">
        <v>6.2298519036604199E-4</v>
      </c>
      <c r="AO38" s="606">
        <v>3.2840835778207299E-4</v>
      </c>
      <c r="AP38" s="606">
        <v>0</v>
      </c>
      <c r="AQ38" s="606">
        <v>9.5139354814811504E-4</v>
      </c>
      <c r="AR38" s="606">
        <v>0</v>
      </c>
      <c r="AS38" s="606">
        <v>0</v>
      </c>
      <c r="AT38" s="606">
        <v>0</v>
      </c>
      <c r="AU38" s="606">
        <v>0</v>
      </c>
      <c r="AV38" s="606">
        <v>9.5139354814811504E-4</v>
      </c>
      <c r="AW38" s="606">
        <v>7.0922121679621196E-4</v>
      </c>
      <c r="AX38" s="606">
        <v>3.7386791646747797E-4</v>
      </c>
      <c r="AY38" s="606">
        <v>0</v>
      </c>
      <c r="AZ38" s="606">
        <v>1.08308913326369E-3</v>
      </c>
      <c r="BA38" s="606">
        <v>0</v>
      </c>
      <c r="BB38" s="606">
        <v>0</v>
      </c>
      <c r="BC38" s="606">
        <v>0</v>
      </c>
      <c r="BD38" s="606">
        <v>0</v>
      </c>
      <c r="BE38" s="606">
        <v>1.08308913326369E-3</v>
      </c>
      <c r="BF38" s="606">
        <v>8.8934076111933397E-3</v>
      </c>
      <c r="BG38" s="606">
        <v>4.8525026797555703E-3</v>
      </c>
      <c r="BH38" s="606">
        <v>0</v>
      </c>
      <c r="BI38" s="606">
        <v>1.37459102909489E-2</v>
      </c>
      <c r="BJ38" s="606">
        <v>2.3321931620833101E-4</v>
      </c>
      <c r="BK38" s="606">
        <v>5.7295579265071502E-6</v>
      </c>
      <c r="BL38" s="606">
        <v>0</v>
      </c>
      <c r="BM38" s="606">
        <v>2.3894887413483901E-4</v>
      </c>
      <c r="BN38" s="608">
        <v>2.2541242041510001</v>
      </c>
      <c r="BO38" s="602"/>
    </row>
    <row r="39" spans="1:67">
      <c r="A39" s="607" t="s">
        <v>76</v>
      </c>
      <c r="B39" s="606">
        <v>2045</v>
      </c>
      <c r="C39" s="606" t="s">
        <v>153</v>
      </c>
      <c r="D39" s="606" t="s">
        <v>586</v>
      </c>
      <c r="E39" s="606" t="s">
        <v>586</v>
      </c>
      <c r="F39" s="606" t="s">
        <v>125</v>
      </c>
      <c r="G39" s="606">
        <v>219.68198630230901</v>
      </c>
      <c r="H39" s="606">
        <v>4451.4540573422</v>
      </c>
      <c r="I39" s="606">
        <v>666.36869111730198</v>
      </c>
      <c r="J39" s="606">
        <v>1.39556254850583E-2</v>
      </c>
      <c r="K39" s="606">
        <v>4.1740775137500902E-3</v>
      </c>
      <c r="L39" s="606">
        <v>3.61682032551677E-3</v>
      </c>
      <c r="M39" s="606">
        <v>2.1746523324325199E-2</v>
      </c>
      <c r="N39" s="606">
        <v>5.2301432574281902E-5</v>
      </c>
      <c r="O39" s="606">
        <v>2.1316866349413698E-6</v>
      </c>
      <c r="P39" s="606">
        <v>0</v>
      </c>
      <c r="Q39" s="606">
        <v>5.4433119209223302E-5</v>
      </c>
      <c r="R39" s="606">
        <v>4.4161993417217099E-5</v>
      </c>
      <c r="S39" s="606">
        <v>1.2983626064661801E-4</v>
      </c>
      <c r="T39" s="606">
        <v>2.2843137327305799E-4</v>
      </c>
      <c r="U39" s="606">
        <v>5.46662712711211E-5</v>
      </c>
      <c r="V39" s="606">
        <v>2.2280720453540801E-6</v>
      </c>
      <c r="W39" s="606">
        <v>0</v>
      </c>
      <c r="X39" s="606">
        <v>5.6894343316475198E-5</v>
      </c>
      <c r="Y39" s="606">
        <v>1.7664797366886799E-4</v>
      </c>
      <c r="Z39" s="606">
        <v>3.0295127484210901E-4</v>
      </c>
      <c r="AA39" s="606">
        <v>5.3649359182745301E-4</v>
      </c>
      <c r="AB39" s="606">
        <v>6.2391213127791101</v>
      </c>
      <c r="AC39" s="606">
        <v>0.59905042481294901</v>
      </c>
      <c r="AD39" s="606">
        <v>0</v>
      </c>
      <c r="AE39" s="606">
        <v>6.8381717375920603</v>
      </c>
      <c r="AF39" s="606">
        <v>8.3346794947718405E-6</v>
      </c>
      <c r="AG39" s="606">
        <v>1.3222471214090699E-5</v>
      </c>
      <c r="AH39" s="606">
        <v>0</v>
      </c>
      <c r="AI39" s="606">
        <v>2.1557150708862599E-5</v>
      </c>
      <c r="AJ39" s="606">
        <v>9.8070298548895408E-4</v>
      </c>
      <c r="AK39" s="606">
        <v>9.4162384512250799E-5</v>
      </c>
      <c r="AL39" s="606">
        <v>0</v>
      </c>
      <c r="AM39" s="606">
        <v>1.0748653700012E-3</v>
      </c>
      <c r="AN39" s="606">
        <v>1.7944336397169401E-4</v>
      </c>
      <c r="AO39" s="606">
        <v>2.8467617934962899E-4</v>
      </c>
      <c r="AP39" s="606">
        <v>0</v>
      </c>
      <c r="AQ39" s="606">
        <v>4.64119543321324E-4</v>
      </c>
      <c r="AR39" s="606">
        <v>0</v>
      </c>
      <c r="AS39" s="606">
        <v>0</v>
      </c>
      <c r="AT39" s="606">
        <v>0</v>
      </c>
      <c r="AU39" s="606">
        <v>0</v>
      </c>
      <c r="AV39" s="606">
        <v>4.64119543321324E-4</v>
      </c>
      <c r="AW39" s="606">
        <v>2.0428261042166099E-4</v>
      </c>
      <c r="AX39" s="606">
        <v>3.2408216027192101E-4</v>
      </c>
      <c r="AY39" s="606">
        <v>0</v>
      </c>
      <c r="AZ39" s="606">
        <v>5.28364770693582E-4</v>
      </c>
      <c r="BA39" s="606">
        <v>0</v>
      </c>
      <c r="BB39" s="606">
        <v>0</v>
      </c>
      <c r="BC39" s="606">
        <v>0</v>
      </c>
      <c r="BD39" s="606">
        <v>0</v>
      </c>
      <c r="BE39" s="606">
        <v>5.28364770693582E-4</v>
      </c>
      <c r="BF39" s="606">
        <v>1.36850718212581E-3</v>
      </c>
      <c r="BG39" s="606">
        <v>4.0595199273904103E-3</v>
      </c>
      <c r="BH39" s="606">
        <v>0</v>
      </c>
      <c r="BI39" s="606">
        <v>5.4280271095162201E-3</v>
      </c>
      <c r="BJ39" s="606">
        <v>5.8944124522366902E-5</v>
      </c>
      <c r="BK39" s="606">
        <v>5.6595313771231598E-6</v>
      </c>
      <c r="BL39" s="606">
        <v>0</v>
      </c>
      <c r="BM39" s="606">
        <v>6.4603655899490094E-5</v>
      </c>
      <c r="BN39" s="608">
        <v>0.609438587927839</v>
      </c>
      <c r="BO39" s="602"/>
    </row>
    <row r="40" spans="1:67">
      <c r="A40" s="607" t="s">
        <v>76</v>
      </c>
      <c r="B40" s="606">
        <v>2045</v>
      </c>
      <c r="C40" s="606" t="s">
        <v>152</v>
      </c>
      <c r="D40" s="606" t="s">
        <v>586</v>
      </c>
      <c r="E40" s="606" t="s">
        <v>586</v>
      </c>
      <c r="F40" s="606" t="s">
        <v>125</v>
      </c>
      <c r="G40" s="606">
        <v>166.007914093983</v>
      </c>
      <c r="H40" s="606">
        <v>13012.305022446</v>
      </c>
      <c r="I40" s="606">
        <v>1915.7083125232</v>
      </c>
      <c r="J40" s="606">
        <v>3.2611193705829301E-2</v>
      </c>
      <c r="K40" s="606">
        <v>4.7272508386501299E-3</v>
      </c>
      <c r="L40" s="606">
        <v>7.6628924336975199E-3</v>
      </c>
      <c r="M40" s="606">
        <v>4.5001336978176897E-2</v>
      </c>
      <c r="N40" s="606">
        <v>1.9541698841048799E-4</v>
      </c>
      <c r="O40" s="606">
        <v>1.6288516700070901E-6</v>
      </c>
      <c r="P40" s="606">
        <v>0</v>
      </c>
      <c r="Q40" s="606">
        <v>1.9704584008049499E-4</v>
      </c>
      <c r="R40" s="606">
        <v>1.29092499066964E-4</v>
      </c>
      <c r="S40" s="606">
        <v>3.7953194725687597E-4</v>
      </c>
      <c r="T40" s="606">
        <v>7.0567028640433605E-4</v>
      </c>
      <c r="U40" s="606">
        <v>2.0425287747636699E-4</v>
      </c>
      <c r="V40" s="606">
        <v>1.7025011146025699E-6</v>
      </c>
      <c r="W40" s="606">
        <v>0</v>
      </c>
      <c r="X40" s="606">
        <v>2.0595537859097E-4</v>
      </c>
      <c r="Y40" s="606">
        <v>5.1636999626785795E-4</v>
      </c>
      <c r="Z40" s="606">
        <v>8.8557454359937805E-4</v>
      </c>
      <c r="AA40" s="606">
        <v>1.6078999184582E-3</v>
      </c>
      <c r="AB40" s="606">
        <v>16.803734706706098</v>
      </c>
      <c r="AC40" s="606">
        <v>0.80705983263104097</v>
      </c>
      <c r="AD40" s="606">
        <v>0</v>
      </c>
      <c r="AE40" s="606">
        <v>17.610794539337199</v>
      </c>
      <c r="AF40" s="606">
        <v>1.24663625816084E-5</v>
      </c>
      <c r="AG40" s="606">
        <v>1.85808353390835E-5</v>
      </c>
      <c r="AH40" s="606">
        <v>0</v>
      </c>
      <c r="AI40" s="606">
        <v>3.1047197920691998E-5</v>
      </c>
      <c r="AJ40" s="606">
        <v>2.6413130901105299E-3</v>
      </c>
      <c r="AK40" s="606">
        <v>1.2685856671969701E-4</v>
      </c>
      <c r="AL40" s="606">
        <v>0</v>
      </c>
      <c r="AM40" s="606">
        <v>2.7681716568302298E-3</v>
      </c>
      <c r="AN40" s="606">
        <v>2.68397367833749E-4</v>
      </c>
      <c r="AO40" s="606">
        <v>4.0004028958051403E-4</v>
      </c>
      <c r="AP40" s="606">
        <v>0</v>
      </c>
      <c r="AQ40" s="606">
        <v>6.68437657414264E-4</v>
      </c>
      <c r="AR40" s="606">
        <v>0</v>
      </c>
      <c r="AS40" s="606">
        <v>0</v>
      </c>
      <c r="AT40" s="606">
        <v>0</v>
      </c>
      <c r="AU40" s="606">
        <v>0</v>
      </c>
      <c r="AV40" s="606">
        <v>6.68437657414264E-4</v>
      </c>
      <c r="AW40" s="606">
        <v>3.0554997252520198E-4</v>
      </c>
      <c r="AX40" s="606">
        <v>4.55415418105044E-4</v>
      </c>
      <c r="AY40" s="606">
        <v>0</v>
      </c>
      <c r="AZ40" s="606">
        <v>7.6096539063024696E-4</v>
      </c>
      <c r="BA40" s="606">
        <v>0</v>
      </c>
      <c r="BB40" s="606">
        <v>0</v>
      </c>
      <c r="BC40" s="606">
        <v>0</v>
      </c>
      <c r="BD40" s="606">
        <v>0</v>
      </c>
      <c r="BE40" s="606">
        <v>7.6096539063024696E-4</v>
      </c>
      <c r="BF40" s="606">
        <v>3.2815135454256298E-3</v>
      </c>
      <c r="BG40" s="606">
        <v>5.9109231881601196E-3</v>
      </c>
      <c r="BH40" s="606">
        <v>0</v>
      </c>
      <c r="BI40" s="606">
        <v>9.1924367335857599E-3</v>
      </c>
      <c r="BJ40" s="606">
        <v>1.5875335345125901E-4</v>
      </c>
      <c r="BK40" s="606">
        <v>7.6247011216415599E-6</v>
      </c>
      <c r="BL40" s="606">
        <v>0</v>
      </c>
      <c r="BM40" s="606">
        <v>1.6637805457290101E-4</v>
      </c>
      <c r="BN40" s="608">
        <v>1.56952737781346</v>
      </c>
      <c r="BO40" s="602"/>
    </row>
    <row r="41" spans="1:67">
      <c r="A41" s="607" t="s">
        <v>76</v>
      </c>
      <c r="B41" s="606">
        <v>2045</v>
      </c>
      <c r="C41" s="606" t="s">
        <v>151</v>
      </c>
      <c r="D41" s="606" t="s">
        <v>586</v>
      </c>
      <c r="E41" s="606" t="s">
        <v>586</v>
      </c>
      <c r="F41" s="606" t="s">
        <v>125</v>
      </c>
      <c r="G41" s="606">
        <v>54.640341127137098</v>
      </c>
      <c r="H41" s="606">
        <v>4167.8423722813604</v>
      </c>
      <c r="I41" s="606">
        <v>247.026857824209</v>
      </c>
      <c r="J41" s="606">
        <v>1.4933447187026201E-2</v>
      </c>
      <c r="K41" s="606">
        <v>1.1350259574996601E-3</v>
      </c>
      <c r="L41" s="606">
        <v>1.2416307816528901E-3</v>
      </c>
      <c r="M41" s="606">
        <v>1.7310103926178801E-2</v>
      </c>
      <c r="N41" s="606">
        <v>6.8552757838441202E-5</v>
      </c>
      <c r="O41" s="606">
        <v>3.9144953589640997E-7</v>
      </c>
      <c r="P41" s="606">
        <v>0</v>
      </c>
      <c r="Q41" s="606">
        <v>6.8944207374337695E-5</v>
      </c>
      <c r="R41" s="606">
        <v>4.1348338102041099E-5</v>
      </c>
      <c r="S41" s="606">
        <v>1.21564114020001E-4</v>
      </c>
      <c r="T41" s="606">
        <v>2.3185665949637901E-4</v>
      </c>
      <c r="U41" s="606">
        <v>7.1652409349538002E-5</v>
      </c>
      <c r="V41" s="606">
        <v>4.0914914687805601E-7</v>
      </c>
      <c r="W41" s="606">
        <v>0</v>
      </c>
      <c r="X41" s="606">
        <v>7.2061558496415998E-5</v>
      </c>
      <c r="Y41" s="606">
        <v>1.6539335240816399E-4</v>
      </c>
      <c r="Z41" s="606">
        <v>2.8364959938000198E-4</v>
      </c>
      <c r="AA41" s="606">
        <v>5.2110451028458302E-4</v>
      </c>
      <c r="AB41" s="606">
        <v>6.1574786328237696</v>
      </c>
      <c r="AC41" s="606">
        <v>0.18605046384865701</v>
      </c>
      <c r="AD41" s="606">
        <v>0</v>
      </c>
      <c r="AE41" s="606">
        <v>6.3435290966724303</v>
      </c>
      <c r="AF41" s="606">
        <v>6.61440977996063E-6</v>
      </c>
      <c r="AG41" s="606">
        <v>4.45954344769233E-6</v>
      </c>
      <c r="AH41" s="606">
        <v>0</v>
      </c>
      <c r="AI41" s="606">
        <v>1.1073953227652901E-5</v>
      </c>
      <c r="AJ41" s="606">
        <v>9.6786989314123501E-4</v>
      </c>
      <c r="AK41" s="606">
        <v>2.92445420117515E-5</v>
      </c>
      <c r="AL41" s="606">
        <v>0</v>
      </c>
      <c r="AM41" s="606">
        <v>9.9711443515298603E-4</v>
      </c>
      <c r="AN41" s="606">
        <v>1.4240642874725201E-4</v>
      </c>
      <c r="AO41" s="606">
        <v>9.6012747524822195E-5</v>
      </c>
      <c r="AP41" s="606">
        <v>0</v>
      </c>
      <c r="AQ41" s="606">
        <v>2.38419176272074E-4</v>
      </c>
      <c r="AR41" s="606">
        <v>0</v>
      </c>
      <c r="AS41" s="606">
        <v>0</v>
      </c>
      <c r="AT41" s="606">
        <v>0</v>
      </c>
      <c r="AU41" s="606">
        <v>0</v>
      </c>
      <c r="AV41" s="606">
        <v>2.38419176272074E-4</v>
      </c>
      <c r="AW41" s="606">
        <v>1.6211887896787201E-4</v>
      </c>
      <c r="AX41" s="606">
        <v>1.0930320444293701E-4</v>
      </c>
      <c r="AY41" s="606">
        <v>0</v>
      </c>
      <c r="AZ41" s="606">
        <v>2.7142208341081E-4</v>
      </c>
      <c r="BA41" s="606">
        <v>0</v>
      </c>
      <c r="BB41" s="606">
        <v>0</v>
      </c>
      <c r="BC41" s="606">
        <v>0</v>
      </c>
      <c r="BD41" s="606">
        <v>0</v>
      </c>
      <c r="BE41" s="606">
        <v>2.7142208341081E-4</v>
      </c>
      <c r="BF41" s="606">
        <v>1.9737146223020802E-3</v>
      </c>
      <c r="BG41" s="606">
        <v>1.4185921896055699E-3</v>
      </c>
      <c r="BH41" s="606">
        <v>0</v>
      </c>
      <c r="BI41" s="606">
        <v>3.3923068119076499E-3</v>
      </c>
      <c r="BJ41" s="606">
        <v>5.8172804964311399E-5</v>
      </c>
      <c r="BK41" s="606">
        <v>1.7577125301406399E-6</v>
      </c>
      <c r="BL41" s="606">
        <v>0</v>
      </c>
      <c r="BM41" s="606">
        <v>5.9930517494451998E-5</v>
      </c>
      <c r="BN41" s="608">
        <v>0.56535453678391301</v>
      </c>
      <c r="BO41" s="602"/>
    </row>
    <row r="42" spans="1:67">
      <c r="A42" s="607" t="s">
        <v>76</v>
      </c>
      <c r="B42" s="606">
        <v>2045</v>
      </c>
      <c r="C42" s="606" t="s">
        <v>150</v>
      </c>
      <c r="D42" s="606" t="s">
        <v>586</v>
      </c>
      <c r="E42" s="606" t="s">
        <v>586</v>
      </c>
      <c r="F42" s="606" t="s">
        <v>125</v>
      </c>
      <c r="G42" s="606">
        <v>19.5360111001897</v>
      </c>
      <c r="H42" s="606">
        <v>798.20976046252201</v>
      </c>
      <c r="I42" s="606">
        <v>76.190443290739907</v>
      </c>
      <c r="J42" s="606">
        <v>7.0611108598500104E-3</v>
      </c>
      <c r="K42" s="606">
        <v>8.3914878925360004E-4</v>
      </c>
      <c r="L42" s="606">
        <v>5.3889713852432202E-5</v>
      </c>
      <c r="M42" s="606">
        <v>7.9541493629560409E-3</v>
      </c>
      <c r="N42" s="606">
        <v>8.2576720646363005E-6</v>
      </c>
      <c r="O42" s="606">
        <v>4.9706173125082695E-7</v>
      </c>
      <c r="P42" s="606">
        <v>0</v>
      </c>
      <c r="Q42" s="606">
        <v>8.7547337958871307E-6</v>
      </c>
      <c r="R42" s="606">
        <v>7.9188808270327595E-6</v>
      </c>
      <c r="S42" s="606">
        <v>2.3281509631476302E-5</v>
      </c>
      <c r="T42" s="606">
        <v>3.99551242543962E-5</v>
      </c>
      <c r="U42" s="606">
        <v>8.6310473525220695E-6</v>
      </c>
      <c r="V42" s="606">
        <v>5.1953665705922396E-7</v>
      </c>
      <c r="W42" s="606">
        <v>0</v>
      </c>
      <c r="X42" s="606">
        <v>9.1505840095812908E-6</v>
      </c>
      <c r="Y42" s="606">
        <v>3.1675523308130998E-5</v>
      </c>
      <c r="Z42" s="606">
        <v>5.4323522473444698E-5</v>
      </c>
      <c r="AA42" s="606">
        <v>9.5149629791157098E-5</v>
      </c>
      <c r="AB42" s="606">
        <v>3.7616007780747598</v>
      </c>
      <c r="AC42" s="606">
        <v>0.10174420614033899</v>
      </c>
      <c r="AD42" s="606">
        <v>0</v>
      </c>
      <c r="AE42" s="606">
        <v>3.8633449842151002</v>
      </c>
      <c r="AF42" s="606">
        <v>2.3533687824614299E-6</v>
      </c>
      <c r="AG42" s="606">
        <v>1.3642323695663201E-6</v>
      </c>
      <c r="AH42" s="606">
        <v>0</v>
      </c>
      <c r="AI42" s="606">
        <v>3.7176011520277498E-6</v>
      </c>
      <c r="AJ42" s="606">
        <v>5.9127125893827001E-4</v>
      </c>
      <c r="AK42" s="606">
        <v>1.5992772333767699E-5</v>
      </c>
      <c r="AL42" s="606">
        <v>0</v>
      </c>
      <c r="AM42" s="606">
        <v>6.0726403127203796E-4</v>
      </c>
      <c r="AN42" s="606">
        <v>5.0667384541391E-5</v>
      </c>
      <c r="AO42" s="606">
        <v>2.9371548814518401E-5</v>
      </c>
      <c r="AP42" s="606">
        <v>0</v>
      </c>
      <c r="AQ42" s="606">
        <v>8.0038933355909401E-5</v>
      </c>
      <c r="AR42" s="606">
        <v>0</v>
      </c>
      <c r="AS42" s="606">
        <v>0</v>
      </c>
      <c r="AT42" s="606">
        <v>0</v>
      </c>
      <c r="AU42" s="606">
        <v>0</v>
      </c>
      <c r="AV42" s="606">
        <v>8.0038933355909401E-5</v>
      </c>
      <c r="AW42" s="606">
        <v>5.7680960433767703E-5</v>
      </c>
      <c r="AX42" s="606">
        <v>3.34372725251825E-5</v>
      </c>
      <c r="AY42" s="606">
        <v>0</v>
      </c>
      <c r="AZ42" s="606">
        <v>9.1118232958950298E-5</v>
      </c>
      <c r="BA42" s="606">
        <v>0</v>
      </c>
      <c r="BB42" s="606">
        <v>0</v>
      </c>
      <c r="BC42" s="606">
        <v>0</v>
      </c>
      <c r="BD42" s="606">
        <v>0</v>
      </c>
      <c r="BE42" s="606">
        <v>9.1118232958950298E-5</v>
      </c>
      <c r="BF42" s="606">
        <v>1.4070461139541299E-4</v>
      </c>
      <c r="BG42" s="606">
        <v>1.6376585718615001E-4</v>
      </c>
      <c r="BH42" s="606">
        <v>0</v>
      </c>
      <c r="BI42" s="606">
        <v>3.04470468581564E-4</v>
      </c>
      <c r="BJ42" s="606">
        <v>3.5537738978104202E-5</v>
      </c>
      <c r="BK42" s="606">
        <v>9.612288101983009E-7</v>
      </c>
      <c r="BL42" s="606">
        <v>0</v>
      </c>
      <c r="BM42" s="606">
        <v>3.6498967788302502E-5</v>
      </c>
      <c r="BN42" s="608">
        <v>0.34431301263095199</v>
      </c>
      <c r="BO42" s="602"/>
    </row>
    <row r="43" spans="1:67">
      <c r="A43" s="607" t="s">
        <v>76</v>
      </c>
      <c r="B43" s="606">
        <v>2045</v>
      </c>
      <c r="C43" s="606" t="s">
        <v>149</v>
      </c>
      <c r="D43" s="606" t="s">
        <v>586</v>
      </c>
      <c r="E43" s="606" t="s">
        <v>586</v>
      </c>
      <c r="F43" s="606" t="s">
        <v>125</v>
      </c>
      <c r="G43" s="606">
        <v>267.65237030946901</v>
      </c>
      <c r="H43" s="606">
        <v>33467.697932902003</v>
      </c>
      <c r="I43" s="606">
        <v>3399.1851029302602</v>
      </c>
      <c r="J43" s="606">
        <v>6.4216152275430899E-2</v>
      </c>
      <c r="K43" s="606">
        <v>6.5532240145958704E-3</v>
      </c>
      <c r="L43" s="606">
        <v>7.0191950418937903E-3</v>
      </c>
      <c r="M43" s="606">
        <v>7.7788571331920603E-2</v>
      </c>
      <c r="N43" s="606">
        <v>9.4087521353912603E-4</v>
      </c>
      <c r="O43" s="606">
        <v>2.2580206222255601E-6</v>
      </c>
      <c r="P43" s="606">
        <v>0</v>
      </c>
      <c r="Q43" s="606">
        <v>9.4313323416135195E-4</v>
      </c>
      <c r="R43" s="606">
        <v>3.3202639783834698E-4</v>
      </c>
      <c r="S43" s="606">
        <v>9.7615760964474198E-4</v>
      </c>
      <c r="T43" s="606">
        <v>2.2513172416444402E-3</v>
      </c>
      <c r="U43" s="606">
        <v>9.8341741562344006E-4</v>
      </c>
      <c r="V43" s="606">
        <v>2.3601182949444902E-6</v>
      </c>
      <c r="W43" s="606">
        <v>0</v>
      </c>
      <c r="X43" s="606">
        <v>9.8577753391838495E-4</v>
      </c>
      <c r="Y43" s="606">
        <v>1.3281055913533901E-3</v>
      </c>
      <c r="Z43" s="606">
        <v>2.2777010891710599E-3</v>
      </c>
      <c r="AA43" s="606">
        <v>4.5915842144428403E-3</v>
      </c>
      <c r="AB43" s="606">
        <v>33.620935099907101</v>
      </c>
      <c r="AC43" s="606">
        <v>1.0537562810713199</v>
      </c>
      <c r="AD43" s="606">
        <v>0</v>
      </c>
      <c r="AE43" s="606">
        <v>34.674691380978402</v>
      </c>
      <c r="AF43" s="606">
        <v>3.1044841569455802E-5</v>
      </c>
      <c r="AG43" s="606">
        <v>2.5757968111145101E-5</v>
      </c>
      <c r="AH43" s="606">
        <v>0</v>
      </c>
      <c r="AI43" s="606">
        <v>5.6802809680600903E-5</v>
      </c>
      <c r="AJ43" s="606">
        <v>5.2847427986173201E-3</v>
      </c>
      <c r="AK43" s="606">
        <v>1.65635812964192E-4</v>
      </c>
      <c r="AL43" s="606">
        <v>0</v>
      </c>
      <c r="AM43" s="606">
        <v>5.4503786115815099E-3</v>
      </c>
      <c r="AN43" s="606">
        <v>6.6838692581831099E-4</v>
      </c>
      <c r="AO43" s="606">
        <v>5.5456199003679296E-4</v>
      </c>
      <c r="AP43" s="606">
        <v>0</v>
      </c>
      <c r="AQ43" s="606">
        <v>1.2229489158551001E-3</v>
      </c>
      <c r="AR43" s="606">
        <v>0</v>
      </c>
      <c r="AS43" s="606">
        <v>0</v>
      </c>
      <c r="AT43" s="606">
        <v>0</v>
      </c>
      <c r="AU43" s="606">
        <v>0</v>
      </c>
      <c r="AV43" s="606">
        <v>1.2229489158551001E-3</v>
      </c>
      <c r="AW43" s="606">
        <v>7.6090763657000798E-4</v>
      </c>
      <c r="AX43" s="606">
        <v>6.31326611683547E-4</v>
      </c>
      <c r="AY43" s="606">
        <v>0</v>
      </c>
      <c r="AZ43" s="606">
        <v>1.3922342482535501E-3</v>
      </c>
      <c r="BA43" s="606">
        <v>0</v>
      </c>
      <c r="BB43" s="606">
        <v>0</v>
      </c>
      <c r="BC43" s="606">
        <v>0</v>
      </c>
      <c r="BD43" s="606">
        <v>0</v>
      </c>
      <c r="BE43" s="606">
        <v>1.3922342482535501E-3</v>
      </c>
      <c r="BF43" s="606">
        <v>5.7844049717635697E-3</v>
      </c>
      <c r="BG43" s="606">
        <v>8.1941079725194998E-3</v>
      </c>
      <c r="BH43" s="606">
        <v>0</v>
      </c>
      <c r="BI43" s="606">
        <v>1.3978512944282999E-2</v>
      </c>
      <c r="BJ43" s="606">
        <v>3.1763392403161999E-4</v>
      </c>
      <c r="BK43" s="606">
        <v>9.9553668431600906E-6</v>
      </c>
      <c r="BL43" s="606">
        <v>0</v>
      </c>
      <c r="BM43" s="606">
        <v>3.2758929087477998E-4</v>
      </c>
      <c r="BN43" s="608">
        <v>3.09031357546723</v>
      </c>
      <c r="BO43" s="602"/>
    </row>
    <row r="44" spans="1:67">
      <c r="A44" s="607" t="s">
        <v>76</v>
      </c>
      <c r="B44" s="606">
        <v>2045</v>
      </c>
      <c r="C44" s="606" t="s">
        <v>148</v>
      </c>
      <c r="D44" s="606" t="s">
        <v>586</v>
      </c>
      <c r="E44" s="606" t="s">
        <v>586</v>
      </c>
      <c r="F44" s="606" t="s">
        <v>125</v>
      </c>
      <c r="G44" s="606">
        <v>46.3169625433531</v>
      </c>
      <c r="H44" s="606">
        <v>3438.1030168796901</v>
      </c>
      <c r="I44" s="606">
        <v>209.39718685913601</v>
      </c>
      <c r="J44" s="606">
        <v>1.5830579872270802E-2</v>
      </c>
      <c r="K44" s="606">
        <v>9.6198464666626495E-4</v>
      </c>
      <c r="L44" s="606">
        <v>1.0535694613300201E-3</v>
      </c>
      <c r="M44" s="606">
        <v>1.78461339802671E-2</v>
      </c>
      <c r="N44" s="606">
        <v>8.0799520682686403E-5</v>
      </c>
      <c r="O44" s="606">
        <v>3.3150867778848301E-7</v>
      </c>
      <c r="P44" s="606">
        <v>0</v>
      </c>
      <c r="Q44" s="606">
        <v>8.11310293604749E-5</v>
      </c>
      <c r="R44" s="606">
        <v>3.4108738592667698E-5</v>
      </c>
      <c r="S44" s="606">
        <v>1.00279691462443E-4</v>
      </c>
      <c r="T44" s="606">
        <v>2.1551945941558501E-4</v>
      </c>
      <c r="U44" s="606">
        <v>8.44529164653947E-5</v>
      </c>
      <c r="V44" s="606">
        <v>3.4649802915010698E-7</v>
      </c>
      <c r="W44" s="606">
        <v>0</v>
      </c>
      <c r="X44" s="606">
        <v>8.4799414494544806E-5</v>
      </c>
      <c r="Y44" s="606">
        <v>1.3643495437067101E-4</v>
      </c>
      <c r="Z44" s="606">
        <v>2.3398594674569999E-4</v>
      </c>
      <c r="AA44" s="606">
        <v>4.5522031561091598E-4</v>
      </c>
      <c r="AB44" s="606">
        <v>4.9812353184419003</v>
      </c>
      <c r="AC44" s="606">
        <v>0.15454262974507799</v>
      </c>
      <c r="AD44" s="606">
        <v>0</v>
      </c>
      <c r="AE44" s="606">
        <v>5.1357779481869796</v>
      </c>
      <c r="AF44" s="606">
        <v>6.4323503924115598E-6</v>
      </c>
      <c r="AG44" s="606">
        <v>3.7808665374090099E-6</v>
      </c>
      <c r="AH44" s="606">
        <v>0</v>
      </c>
      <c r="AI44" s="606">
        <v>1.02132169298205E-5</v>
      </c>
      <c r="AJ44" s="606">
        <v>7.82980824272994E-4</v>
      </c>
      <c r="AK44" s="606">
        <v>2.4291949263093002E-5</v>
      </c>
      <c r="AL44" s="606">
        <v>0</v>
      </c>
      <c r="AM44" s="606">
        <v>8.0727277353608701E-4</v>
      </c>
      <c r="AN44" s="606">
        <v>1.3848674005797199E-4</v>
      </c>
      <c r="AO44" s="606">
        <v>8.14010197544205E-5</v>
      </c>
      <c r="AP44" s="606">
        <v>0</v>
      </c>
      <c r="AQ44" s="606">
        <v>2.1988775981239301E-4</v>
      </c>
      <c r="AR44" s="606">
        <v>0</v>
      </c>
      <c r="AS44" s="606">
        <v>0</v>
      </c>
      <c r="AT44" s="606">
        <v>0</v>
      </c>
      <c r="AU44" s="606">
        <v>0</v>
      </c>
      <c r="AV44" s="606">
        <v>2.1988775981239301E-4</v>
      </c>
      <c r="AW44" s="606">
        <v>1.5765661176688099E-4</v>
      </c>
      <c r="AX44" s="606">
        <v>9.2668864639883198E-5</v>
      </c>
      <c r="AY44" s="606">
        <v>0</v>
      </c>
      <c r="AZ44" s="606">
        <v>2.5032547640676498E-4</v>
      </c>
      <c r="BA44" s="606">
        <v>0</v>
      </c>
      <c r="BB44" s="606">
        <v>0</v>
      </c>
      <c r="BC44" s="606">
        <v>0</v>
      </c>
      <c r="BD44" s="606">
        <v>0</v>
      </c>
      <c r="BE44" s="606">
        <v>2.5032547640676498E-4</v>
      </c>
      <c r="BF44" s="606">
        <v>1.9273865540107701E-3</v>
      </c>
      <c r="BG44" s="606">
        <v>1.20274124714133E-3</v>
      </c>
      <c r="BH44" s="606">
        <v>0</v>
      </c>
      <c r="BI44" s="606">
        <v>3.1301278011521098E-3</v>
      </c>
      <c r="BJ44" s="606">
        <v>4.7060241365088201E-5</v>
      </c>
      <c r="BK44" s="606">
        <v>1.4600421365505199E-6</v>
      </c>
      <c r="BL44" s="606">
        <v>0</v>
      </c>
      <c r="BM44" s="606">
        <v>4.8520283501638801E-5</v>
      </c>
      <c r="BN44" s="608">
        <v>0.457716094412709</v>
      </c>
      <c r="BO44" s="602"/>
    </row>
    <row r="45" spans="1:67">
      <c r="A45" s="607" t="s">
        <v>76</v>
      </c>
      <c r="B45" s="606">
        <v>2045</v>
      </c>
      <c r="C45" s="606" t="s">
        <v>147</v>
      </c>
      <c r="D45" s="606" t="s">
        <v>586</v>
      </c>
      <c r="E45" s="606" t="s">
        <v>586</v>
      </c>
      <c r="F45" s="606" t="s">
        <v>125</v>
      </c>
      <c r="G45" s="606">
        <v>6.1179941048756499</v>
      </c>
      <c r="H45" s="606">
        <v>124.07921421255</v>
      </c>
      <c r="I45" s="606">
        <v>70.356932206069999</v>
      </c>
      <c r="J45" s="606">
        <v>2.33548233229835E-4</v>
      </c>
      <c r="K45" s="606">
        <v>5.0638853197303903E-5</v>
      </c>
      <c r="L45" s="606">
        <v>2.5898461598780902E-4</v>
      </c>
      <c r="M45" s="606">
        <v>5.4317170241494799E-4</v>
      </c>
      <c r="N45" s="606">
        <v>9.0223779886063398E-7</v>
      </c>
      <c r="O45" s="606">
        <v>1.7448445917717699E-8</v>
      </c>
      <c r="P45" s="606">
        <v>0</v>
      </c>
      <c r="Q45" s="606">
        <v>9.1968624477835195E-7</v>
      </c>
      <c r="R45" s="606">
        <v>1.23096529149393E-6</v>
      </c>
      <c r="S45" s="606">
        <v>3.61903795699217E-6</v>
      </c>
      <c r="T45" s="606">
        <v>5.7696894932644597E-6</v>
      </c>
      <c r="U45" s="606">
        <v>9.4303298850417501E-7</v>
      </c>
      <c r="V45" s="606">
        <v>1.82373872157849E-8</v>
      </c>
      <c r="W45" s="606">
        <v>0</v>
      </c>
      <c r="X45" s="606">
        <v>9.6127037571996002E-7</v>
      </c>
      <c r="Y45" s="606">
        <v>4.9238611659757396E-6</v>
      </c>
      <c r="Z45" s="606">
        <v>8.4444218996484104E-6</v>
      </c>
      <c r="AA45" s="606">
        <v>1.43295534413441E-5</v>
      </c>
      <c r="AB45" s="606">
        <v>0.159087283023607</v>
      </c>
      <c r="AC45" s="606">
        <v>8.4488247706487208E-3</v>
      </c>
      <c r="AD45" s="606">
        <v>0</v>
      </c>
      <c r="AE45" s="606">
        <v>0.16753610779425501</v>
      </c>
      <c r="AF45" s="606">
        <v>9.98367891693717E-8</v>
      </c>
      <c r="AG45" s="606">
        <v>1.9904003936626501E-7</v>
      </c>
      <c r="AH45" s="606">
        <v>0</v>
      </c>
      <c r="AI45" s="606">
        <v>2.9887682853563698E-7</v>
      </c>
      <c r="AJ45" s="606">
        <v>2.5006305470454501E-5</v>
      </c>
      <c r="AK45" s="606">
        <v>1.3280375971335999E-6</v>
      </c>
      <c r="AL45" s="606">
        <v>0</v>
      </c>
      <c r="AM45" s="606">
        <v>2.63343430675881E-5</v>
      </c>
      <c r="AN45" s="606">
        <v>2.1494586933933802E-6</v>
      </c>
      <c r="AO45" s="606">
        <v>4.2852774664394996E-6</v>
      </c>
      <c r="AP45" s="606">
        <v>0</v>
      </c>
      <c r="AQ45" s="606">
        <v>6.43473615983289E-6</v>
      </c>
      <c r="AR45" s="606">
        <v>0</v>
      </c>
      <c r="AS45" s="606">
        <v>0</v>
      </c>
      <c r="AT45" s="606">
        <v>0</v>
      </c>
      <c r="AU45" s="606">
        <v>0</v>
      </c>
      <c r="AV45" s="606">
        <v>6.43473615983289E-6</v>
      </c>
      <c r="AW45" s="606">
        <v>2.4469951028626301E-6</v>
      </c>
      <c r="AX45" s="606">
        <v>4.8784621946982201E-6</v>
      </c>
      <c r="AY45" s="606">
        <v>0</v>
      </c>
      <c r="AZ45" s="606">
        <v>7.3254572975608603E-6</v>
      </c>
      <c r="BA45" s="606">
        <v>0</v>
      </c>
      <c r="BB45" s="606">
        <v>0</v>
      </c>
      <c r="BC45" s="606">
        <v>0</v>
      </c>
      <c r="BD45" s="606">
        <v>0</v>
      </c>
      <c r="BE45" s="606">
        <v>7.3254572975608603E-6</v>
      </c>
      <c r="BF45" s="606">
        <v>2.8012787690127099E-5</v>
      </c>
      <c r="BG45" s="606">
        <v>6.3318487171975903E-5</v>
      </c>
      <c r="BH45" s="606">
        <v>0</v>
      </c>
      <c r="BI45" s="606">
        <v>9.1331274862103005E-5</v>
      </c>
      <c r="BJ45" s="606">
        <v>1.50297776727979E-6</v>
      </c>
      <c r="BK45" s="606">
        <v>7.9820307120610594E-8</v>
      </c>
      <c r="BL45" s="606">
        <v>0</v>
      </c>
      <c r="BM45" s="606">
        <v>1.5827980744004E-6</v>
      </c>
      <c r="BN45" s="608">
        <v>1.4931325634856199E-2</v>
      </c>
      <c r="BO45" s="602"/>
    </row>
    <row r="46" spans="1:67">
      <c r="A46" s="607" t="s">
        <v>76</v>
      </c>
      <c r="B46" s="606">
        <v>2045</v>
      </c>
      <c r="C46" s="606" t="s">
        <v>132</v>
      </c>
      <c r="D46" s="606" t="s">
        <v>586</v>
      </c>
      <c r="E46" s="606" t="s">
        <v>586</v>
      </c>
      <c r="F46" s="606" t="s">
        <v>125</v>
      </c>
      <c r="G46" s="606">
        <v>247.300598948953</v>
      </c>
      <c r="H46" s="606">
        <v>19385.043861670401</v>
      </c>
      <c r="I46" s="606">
        <v>989.20239579581198</v>
      </c>
      <c r="J46" s="606">
        <v>1.66234780241661E-2</v>
      </c>
      <c r="K46" s="606">
        <v>0</v>
      </c>
      <c r="L46" s="606">
        <v>0</v>
      </c>
      <c r="M46" s="606">
        <v>1.66234780241661E-2</v>
      </c>
      <c r="N46" s="606">
        <v>1.17447408801718E-4</v>
      </c>
      <c r="O46" s="606">
        <v>0</v>
      </c>
      <c r="P46" s="606">
        <v>0</v>
      </c>
      <c r="Q46" s="606">
        <v>1.17447408801718E-4</v>
      </c>
      <c r="R46" s="606">
        <v>1.7037205998377401E-4</v>
      </c>
      <c r="S46" s="606">
        <v>6.7292838259858502E-4</v>
      </c>
      <c r="T46" s="606">
        <v>9.6074785138407703E-4</v>
      </c>
      <c r="U46" s="606">
        <v>1.22757859462573E-4</v>
      </c>
      <c r="V46" s="606">
        <v>0</v>
      </c>
      <c r="W46" s="606">
        <v>0</v>
      </c>
      <c r="X46" s="606">
        <v>1.22757859462573E-4</v>
      </c>
      <c r="Y46" s="606">
        <v>6.8148823993509605E-4</v>
      </c>
      <c r="Z46" s="606">
        <v>1.5701662260633601E-3</v>
      </c>
      <c r="AA46" s="606">
        <v>2.3744123254610299E-3</v>
      </c>
      <c r="AB46" s="606">
        <v>31.648905079658899</v>
      </c>
      <c r="AC46" s="606">
        <v>0</v>
      </c>
      <c r="AD46" s="606">
        <v>0</v>
      </c>
      <c r="AE46" s="606">
        <v>31.648905079658899</v>
      </c>
      <c r="AF46" s="606">
        <v>1.58492832466214E-3</v>
      </c>
      <c r="AG46" s="606">
        <v>0</v>
      </c>
      <c r="AH46" s="606">
        <v>0</v>
      </c>
      <c r="AI46" s="606">
        <v>1.58492832466214E-3</v>
      </c>
      <c r="AJ46" s="606">
        <v>4.9747671415692699E-3</v>
      </c>
      <c r="AK46" s="606">
        <v>0</v>
      </c>
      <c r="AL46" s="606">
        <v>0</v>
      </c>
      <c r="AM46" s="606">
        <v>4.9747671415692699E-3</v>
      </c>
      <c r="AN46" s="606">
        <v>2.2645498481237002E-5</v>
      </c>
      <c r="AO46" s="606">
        <v>0</v>
      </c>
      <c r="AP46" s="606">
        <v>0</v>
      </c>
      <c r="AQ46" s="606">
        <v>2.2645498481237002E-5</v>
      </c>
      <c r="AR46" s="606">
        <v>0</v>
      </c>
      <c r="AS46" s="606">
        <v>0</v>
      </c>
      <c r="AT46" s="606">
        <v>0</v>
      </c>
      <c r="AU46" s="606">
        <v>0</v>
      </c>
      <c r="AV46" s="606">
        <v>2.2645498481237002E-5</v>
      </c>
      <c r="AW46" s="606">
        <v>1.6175356058026401E-3</v>
      </c>
      <c r="AX46" s="606">
        <v>0</v>
      </c>
      <c r="AY46" s="606">
        <v>0</v>
      </c>
      <c r="AZ46" s="606">
        <v>1.6175356058026401E-3</v>
      </c>
      <c r="BA46" s="606">
        <v>0</v>
      </c>
      <c r="BB46" s="606">
        <v>0</v>
      </c>
      <c r="BC46" s="606">
        <v>0</v>
      </c>
      <c r="BD46" s="606">
        <v>0</v>
      </c>
      <c r="BE46" s="606">
        <v>1.6175356058026401E-3</v>
      </c>
      <c r="BF46" s="606">
        <v>2.6793189674958898E-3</v>
      </c>
      <c r="BG46" s="606">
        <v>0</v>
      </c>
      <c r="BH46" s="606">
        <v>0</v>
      </c>
      <c r="BI46" s="606">
        <v>2.6793189674958898E-3</v>
      </c>
      <c r="BJ46" s="606">
        <v>2.9919596960538099E-4</v>
      </c>
      <c r="BK46" s="606">
        <v>0</v>
      </c>
      <c r="BL46" s="606">
        <v>0</v>
      </c>
      <c r="BM46" s="606">
        <v>2.9919596960538099E-4</v>
      </c>
      <c r="BN46" s="608">
        <v>2.8206463308278198</v>
      </c>
      <c r="BO46" s="602"/>
    </row>
    <row r="47" spans="1:67">
      <c r="A47" s="607" t="s">
        <v>76</v>
      </c>
      <c r="B47" s="606">
        <v>2045</v>
      </c>
      <c r="C47" s="606" t="s">
        <v>144</v>
      </c>
      <c r="D47" s="606" t="s">
        <v>586</v>
      </c>
      <c r="E47" s="606" t="s">
        <v>586</v>
      </c>
      <c r="F47" s="606" t="s">
        <v>10</v>
      </c>
      <c r="G47" s="606">
        <v>23784.921766865002</v>
      </c>
      <c r="H47" s="606">
        <v>587221.095597437</v>
      </c>
      <c r="I47" s="606">
        <v>113143.250255969</v>
      </c>
      <c r="J47" s="606">
        <v>0</v>
      </c>
      <c r="K47" s="606">
        <v>0</v>
      </c>
      <c r="L47" s="606">
        <v>0</v>
      </c>
      <c r="M47" s="606">
        <v>0</v>
      </c>
      <c r="N47" s="606">
        <v>0</v>
      </c>
      <c r="O47" s="606">
        <v>0</v>
      </c>
      <c r="P47" s="606">
        <v>0</v>
      </c>
      <c r="Q47" s="606">
        <v>0</v>
      </c>
      <c r="R47" s="606">
        <v>1.2946009113809301E-3</v>
      </c>
      <c r="S47" s="606">
        <v>1.0194982177124799E-2</v>
      </c>
      <c r="T47" s="606">
        <v>1.14895830885057E-2</v>
      </c>
      <c r="U47" s="606">
        <v>0</v>
      </c>
      <c r="V47" s="606">
        <v>0</v>
      </c>
      <c r="W47" s="606">
        <v>0</v>
      </c>
      <c r="X47" s="606">
        <v>0</v>
      </c>
      <c r="Y47" s="606">
        <v>5.1784036455237298E-3</v>
      </c>
      <c r="Z47" s="606">
        <v>2.3788291746624599E-2</v>
      </c>
      <c r="AA47" s="606">
        <v>2.8966695392148301E-2</v>
      </c>
      <c r="AB47" s="606">
        <v>0</v>
      </c>
      <c r="AC47" s="606">
        <v>0</v>
      </c>
      <c r="AD47" s="606">
        <v>0</v>
      </c>
      <c r="AE47" s="606">
        <v>0</v>
      </c>
      <c r="AF47" s="606">
        <v>0</v>
      </c>
      <c r="AG47" s="606">
        <v>0</v>
      </c>
      <c r="AH47" s="606">
        <v>0</v>
      </c>
      <c r="AI47" s="606">
        <v>0</v>
      </c>
      <c r="AJ47" s="606">
        <v>0</v>
      </c>
      <c r="AK47" s="606">
        <v>0</v>
      </c>
      <c r="AL47" s="606">
        <v>0</v>
      </c>
      <c r="AM47" s="606">
        <v>0</v>
      </c>
      <c r="AN47" s="606">
        <v>0</v>
      </c>
      <c r="AO47" s="606">
        <v>0</v>
      </c>
      <c r="AP47" s="606">
        <v>0</v>
      </c>
      <c r="AQ47" s="606">
        <v>0</v>
      </c>
      <c r="AR47" s="606">
        <v>3.1468602666646998E-4</v>
      </c>
      <c r="AS47" s="606">
        <v>6.0962998504090799E-4</v>
      </c>
      <c r="AT47" s="606">
        <v>0</v>
      </c>
      <c r="AU47" s="606">
        <v>8.2004497582263298E-5</v>
      </c>
      <c r="AV47" s="606">
        <v>1.00632050928964E-3</v>
      </c>
      <c r="AW47" s="606">
        <v>0</v>
      </c>
      <c r="AX47" s="606">
        <v>0</v>
      </c>
      <c r="AY47" s="606">
        <v>0</v>
      </c>
      <c r="AZ47" s="606">
        <v>0</v>
      </c>
      <c r="BA47" s="606">
        <v>3.1468602666646998E-4</v>
      </c>
      <c r="BB47" s="606">
        <v>6.0962998504065797E-4</v>
      </c>
      <c r="BC47" s="606">
        <v>0</v>
      </c>
      <c r="BD47" s="606">
        <v>8.2004497582263298E-5</v>
      </c>
      <c r="BE47" s="606">
        <v>1.00632050928939E-3</v>
      </c>
      <c r="BF47" s="606">
        <v>0</v>
      </c>
      <c r="BG47" s="606">
        <v>0</v>
      </c>
      <c r="BH47" s="606">
        <v>0</v>
      </c>
      <c r="BI47" s="606">
        <v>0</v>
      </c>
      <c r="BJ47" s="606">
        <v>0</v>
      </c>
      <c r="BK47" s="606">
        <v>0</v>
      </c>
      <c r="BL47" s="606">
        <v>0</v>
      </c>
      <c r="BM47" s="606">
        <v>0</v>
      </c>
      <c r="BN47" s="608">
        <v>0</v>
      </c>
      <c r="BO47" s="602"/>
    </row>
    <row r="48" spans="1:67">
      <c r="A48" s="607" t="s">
        <v>76</v>
      </c>
      <c r="B48" s="606">
        <v>2045</v>
      </c>
      <c r="C48" s="606" t="s">
        <v>143</v>
      </c>
      <c r="D48" s="606" t="s">
        <v>586</v>
      </c>
      <c r="E48" s="606" t="s">
        <v>586</v>
      </c>
      <c r="F48" s="606" t="s">
        <v>10</v>
      </c>
      <c r="G48" s="606">
        <v>3072.7287650816102</v>
      </c>
      <c r="H48" s="606">
        <v>71627.072451599699</v>
      </c>
      <c r="I48" s="606">
        <v>14348.070714503399</v>
      </c>
      <c r="J48" s="606">
        <v>0</v>
      </c>
      <c r="K48" s="606">
        <v>0</v>
      </c>
      <c r="L48" s="606">
        <v>0</v>
      </c>
      <c r="M48" s="606">
        <v>0</v>
      </c>
      <c r="N48" s="606">
        <v>0</v>
      </c>
      <c r="O48" s="606">
        <v>0</v>
      </c>
      <c r="P48" s="606">
        <v>0</v>
      </c>
      <c r="Q48" s="606">
        <v>0</v>
      </c>
      <c r="R48" s="606">
        <v>1.57910664263598E-4</v>
      </c>
      <c r="S48" s="606">
        <v>1.2435464810758301E-3</v>
      </c>
      <c r="T48" s="606">
        <v>1.40145714533943E-3</v>
      </c>
      <c r="U48" s="606">
        <v>0</v>
      </c>
      <c r="V48" s="606">
        <v>0</v>
      </c>
      <c r="W48" s="606">
        <v>0</v>
      </c>
      <c r="X48" s="606">
        <v>0</v>
      </c>
      <c r="Y48" s="606">
        <v>6.3164265705439198E-4</v>
      </c>
      <c r="Z48" s="606">
        <v>2.9016084558436098E-3</v>
      </c>
      <c r="AA48" s="606">
        <v>3.5332511128979998E-3</v>
      </c>
      <c r="AB48" s="606">
        <v>0</v>
      </c>
      <c r="AC48" s="606">
        <v>0</v>
      </c>
      <c r="AD48" s="606">
        <v>0</v>
      </c>
      <c r="AE48" s="606">
        <v>0</v>
      </c>
      <c r="AF48" s="606">
        <v>0</v>
      </c>
      <c r="AG48" s="606">
        <v>0</v>
      </c>
      <c r="AH48" s="606">
        <v>0</v>
      </c>
      <c r="AI48" s="606">
        <v>0</v>
      </c>
      <c r="AJ48" s="606">
        <v>0</v>
      </c>
      <c r="AK48" s="606">
        <v>0</v>
      </c>
      <c r="AL48" s="606">
        <v>0</v>
      </c>
      <c r="AM48" s="606">
        <v>0</v>
      </c>
      <c r="AN48" s="606">
        <v>0</v>
      </c>
      <c r="AO48" s="606">
        <v>0</v>
      </c>
      <c r="AP48" s="606">
        <v>0</v>
      </c>
      <c r="AQ48" s="606">
        <v>0</v>
      </c>
      <c r="AR48" s="606">
        <v>4.06536887354559E-5</v>
      </c>
      <c r="AS48" s="606">
        <v>7.7309199755706403E-5</v>
      </c>
      <c r="AT48" s="606">
        <v>0</v>
      </c>
      <c r="AU48" s="606">
        <v>1.05940049354342E-5</v>
      </c>
      <c r="AV48" s="606">
        <v>1.2855689342659599E-4</v>
      </c>
      <c r="AW48" s="606">
        <v>0</v>
      </c>
      <c r="AX48" s="606">
        <v>0</v>
      </c>
      <c r="AY48" s="606">
        <v>0</v>
      </c>
      <c r="AZ48" s="606">
        <v>0</v>
      </c>
      <c r="BA48" s="606">
        <v>4.06536887354559E-5</v>
      </c>
      <c r="BB48" s="606">
        <v>7.7309199755674595E-5</v>
      </c>
      <c r="BC48" s="606">
        <v>0</v>
      </c>
      <c r="BD48" s="606">
        <v>1.05940049354342E-5</v>
      </c>
      <c r="BE48" s="606">
        <v>1.2855689342656401E-4</v>
      </c>
      <c r="BF48" s="606">
        <v>0</v>
      </c>
      <c r="BG48" s="606">
        <v>0</v>
      </c>
      <c r="BH48" s="606">
        <v>0</v>
      </c>
      <c r="BI48" s="606">
        <v>0</v>
      </c>
      <c r="BJ48" s="606">
        <v>0</v>
      </c>
      <c r="BK48" s="606">
        <v>0</v>
      </c>
      <c r="BL48" s="606">
        <v>0</v>
      </c>
      <c r="BM48" s="606">
        <v>0</v>
      </c>
      <c r="BN48" s="608">
        <v>0</v>
      </c>
      <c r="BO48" s="602"/>
    </row>
    <row r="49" spans="1:67">
      <c r="A49" s="607" t="s">
        <v>76</v>
      </c>
      <c r="B49" s="606">
        <v>2045</v>
      </c>
      <c r="C49" s="606" t="s">
        <v>142</v>
      </c>
      <c r="D49" s="606" t="s">
        <v>586</v>
      </c>
      <c r="E49" s="606" t="s">
        <v>586</v>
      </c>
      <c r="F49" s="606" t="s">
        <v>10</v>
      </c>
      <c r="G49" s="606">
        <v>10787.497449029301</v>
      </c>
      <c r="H49" s="606">
        <v>176338.847456396</v>
      </c>
      <c r="I49" s="606">
        <v>50601.837285506699</v>
      </c>
      <c r="J49" s="606">
        <v>0</v>
      </c>
      <c r="K49" s="606">
        <v>0</v>
      </c>
      <c r="L49" s="606">
        <v>0</v>
      </c>
      <c r="M49" s="606">
        <v>0</v>
      </c>
      <c r="N49" s="606">
        <v>0</v>
      </c>
      <c r="O49" s="606">
        <v>0</v>
      </c>
      <c r="P49" s="606">
        <v>0</v>
      </c>
      <c r="Q49" s="606">
        <v>0</v>
      </c>
      <c r="R49" s="606">
        <v>3.88760612213112E-4</v>
      </c>
      <c r="S49" s="606">
        <v>3.0614898211782601E-3</v>
      </c>
      <c r="T49" s="606">
        <v>3.4502504333913699E-3</v>
      </c>
      <c r="U49" s="606">
        <v>0</v>
      </c>
      <c r="V49" s="606">
        <v>0</v>
      </c>
      <c r="W49" s="606">
        <v>0</v>
      </c>
      <c r="X49" s="606">
        <v>0</v>
      </c>
      <c r="Y49" s="606">
        <v>1.55504244885244E-3</v>
      </c>
      <c r="Z49" s="606">
        <v>7.1434762494159403E-3</v>
      </c>
      <c r="AA49" s="606">
        <v>8.6985186982683899E-3</v>
      </c>
      <c r="AB49" s="606">
        <v>0</v>
      </c>
      <c r="AC49" s="606">
        <v>0</v>
      </c>
      <c r="AD49" s="606">
        <v>0</v>
      </c>
      <c r="AE49" s="606">
        <v>0</v>
      </c>
      <c r="AF49" s="606">
        <v>0</v>
      </c>
      <c r="AG49" s="606">
        <v>0</v>
      </c>
      <c r="AH49" s="606">
        <v>0</v>
      </c>
      <c r="AI49" s="606">
        <v>0</v>
      </c>
      <c r="AJ49" s="606">
        <v>0</v>
      </c>
      <c r="AK49" s="606">
        <v>0</v>
      </c>
      <c r="AL49" s="606">
        <v>0</v>
      </c>
      <c r="AM49" s="606">
        <v>0</v>
      </c>
      <c r="AN49" s="606">
        <v>0</v>
      </c>
      <c r="AO49" s="606">
        <v>0</v>
      </c>
      <c r="AP49" s="606">
        <v>0</v>
      </c>
      <c r="AQ49" s="606">
        <v>0</v>
      </c>
      <c r="AR49" s="606">
        <v>1.42723812303594E-4</v>
      </c>
      <c r="AS49" s="606">
        <v>2.72649028886974E-4</v>
      </c>
      <c r="AT49" s="606">
        <v>0</v>
      </c>
      <c r="AU49" s="606">
        <v>3.7192609551063303E-5</v>
      </c>
      <c r="AV49" s="606">
        <v>4.5256545074163199E-4</v>
      </c>
      <c r="AW49" s="606">
        <v>0</v>
      </c>
      <c r="AX49" s="606">
        <v>0</v>
      </c>
      <c r="AY49" s="606">
        <v>0</v>
      </c>
      <c r="AZ49" s="606">
        <v>0</v>
      </c>
      <c r="BA49" s="606">
        <v>1.42723812303594E-4</v>
      </c>
      <c r="BB49" s="606">
        <v>2.7264902888686097E-4</v>
      </c>
      <c r="BC49" s="606">
        <v>0</v>
      </c>
      <c r="BD49" s="606">
        <v>3.7192609551063303E-5</v>
      </c>
      <c r="BE49" s="606">
        <v>4.5256545074151902E-4</v>
      </c>
      <c r="BF49" s="606">
        <v>0</v>
      </c>
      <c r="BG49" s="606">
        <v>0</v>
      </c>
      <c r="BH49" s="606">
        <v>0</v>
      </c>
      <c r="BI49" s="606">
        <v>0</v>
      </c>
      <c r="BJ49" s="606">
        <v>0</v>
      </c>
      <c r="BK49" s="606">
        <v>0</v>
      </c>
      <c r="BL49" s="606">
        <v>0</v>
      </c>
      <c r="BM49" s="606">
        <v>0</v>
      </c>
      <c r="BN49" s="608">
        <v>0</v>
      </c>
      <c r="BO49" s="602"/>
    </row>
    <row r="50" spans="1:67">
      <c r="A50" s="607" t="s">
        <v>76</v>
      </c>
      <c r="B50" s="606">
        <v>2045</v>
      </c>
      <c r="C50" s="606" t="s">
        <v>138</v>
      </c>
      <c r="D50" s="606" t="s">
        <v>586</v>
      </c>
      <c r="E50" s="606" t="s">
        <v>586</v>
      </c>
      <c r="F50" s="606" t="s">
        <v>10</v>
      </c>
      <c r="G50" s="606">
        <v>7954.8984252786104</v>
      </c>
      <c r="H50" s="606">
        <v>129211.845372636</v>
      </c>
      <c r="I50" s="606">
        <v>37236.436767861102</v>
      </c>
      <c r="J50" s="606">
        <v>0</v>
      </c>
      <c r="K50" s="606">
        <v>0</v>
      </c>
      <c r="L50" s="606">
        <v>0</v>
      </c>
      <c r="M50" s="606">
        <v>0</v>
      </c>
      <c r="N50" s="606">
        <v>0</v>
      </c>
      <c r="O50" s="606">
        <v>0</v>
      </c>
      <c r="P50" s="606">
        <v>0</v>
      </c>
      <c r="Q50" s="606">
        <v>0</v>
      </c>
      <c r="R50" s="606">
        <v>2.8486335731934002E-4</v>
      </c>
      <c r="S50" s="606">
        <v>2.2432989388898E-3</v>
      </c>
      <c r="T50" s="606">
        <v>2.5281622962091401E-3</v>
      </c>
      <c r="U50" s="606">
        <v>0</v>
      </c>
      <c r="V50" s="606">
        <v>0</v>
      </c>
      <c r="W50" s="606">
        <v>0</v>
      </c>
      <c r="X50" s="606">
        <v>0</v>
      </c>
      <c r="Y50" s="606">
        <v>1.1394534292773601E-3</v>
      </c>
      <c r="Z50" s="606">
        <v>5.2343641907428799E-3</v>
      </c>
      <c r="AA50" s="606">
        <v>6.3738176200202404E-3</v>
      </c>
      <c r="AB50" s="606">
        <v>0</v>
      </c>
      <c r="AC50" s="606">
        <v>0</v>
      </c>
      <c r="AD50" s="606">
        <v>0</v>
      </c>
      <c r="AE50" s="606">
        <v>0</v>
      </c>
      <c r="AF50" s="606">
        <v>0</v>
      </c>
      <c r="AG50" s="606">
        <v>0</v>
      </c>
      <c r="AH50" s="606">
        <v>0</v>
      </c>
      <c r="AI50" s="606">
        <v>0</v>
      </c>
      <c r="AJ50" s="606">
        <v>0</v>
      </c>
      <c r="AK50" s="606">
        <v>0</v>
      </c>
      <c r="AL50" s="606">
        <v>0</v>
      </c>
      <c r="AM50" s="606">
        <v>0</v>
      </c>
      <c r="AN50" s="606">
        <v>0</v>
      </c>
      <c r="AO50" s="606">
        <v>0</v>
      </c>
      <c r="AP50" s="606">
        <v>0</v>
      </c>
      <c r="AQ50" s="606">
        <v>0</v>
      </c>
      <c r="AR50" s="606">
        <v>1.05247156266607E-4</v>
      </c>
      <c r="AS50" s="606">
        <v>2.00634579070439E-4</v>
      </c>
      <c r="AT50" s="606">
        <v>0</v>
      </c>
      <c r="AU50" s="606">
        <v>2.74265122701259E-5</v>
      </c>
      <c r="AV50" s="606">
        <v>3.3330824760717298E-4</v>
      </c>
      <c r="AW50" s="606">
        <v>0</v>
      </c>
      <c r="AX50" s="606">
        <v>0</v>
      </c>
      <c r="AY50" s="606">
        <v>0</v>
      </c>
      <c r="AZ50" s="606">
        <v>0</v>
      </c>
      <c r="BA50" s="606">
        <v>1.05247156266607E-4</v>
      </c>
      <c r="BB50" s="606">
        <v>2.00634579070357E-4</v>
      </c>
      <c r="BC50" s="606">
        <v>0</v>
      </c>
      <c r="BD50" s="606">
        <v>2.74265122701259E-5</v>
      </c>
      <c r="BE50" s="606">
        <v>3.3330824760709101E-4</v>
      </c>
      <c r="BF50" s="606">
        <v>0</v>
      </c>
      <c r="BG50" s="606">
        <v>0</v>
      </c>
      <c r="BH50" s="606">
        <v>0</v>
      </c>
      <c r="BI50" s="606">
        <v>0</v>
      </c>
      <c r="BJ50" s="606">
        <v>0</v>
      </c>
      <c r="BK50" s="606">
        <v>0</v>
      </c>
      <c r="BL50" s="606">
        <v>0</v>
      </c>
      <c r="BM50" s="606">
        <v>0</v>
      </c>
      <c r="BN50" s="608">
        <v>0</v>
      </c>
      <c r="BO50" s="602"/>
    </row>
    <row r="51" spans="1:67">
      <c r="A51" s="607" t="s">
        <v>76</v>
      </c>
      <c r="B51" s="606">
        <v>2045</v>
      </c>
      <c r="C51" s="606" t="s">
        <v>144</v>
      </c>
      <c r="D51" s="606" t="s">
        <v>586</v>
      </c>
      <c r="E51" s="606" t="s">
        <v>586</v>
      </c>
      <c r="F51" s="606" t="s">
        <v>569</v>
      </c>
      <c r="G51" s="606">
        <v>362835.88362964301</v>
      </c>
      <c r="H51" s="606">
        <v>8101945.4459169004</v>
      </c>
      <c r="I51" s="606">
        <v>1713498.1265189501</v>
      </c>
      <c r="J51" s="606">
        <v>0.147086979807736</v>
      </c>
      <c r="K51" s="606">
        <v>0</v>
      </c>
      <c r="L51" s="606">
        <v>0.216643851540155</v>
      </c>
      <c r="M51" s="606">
        <v>0.36373083134789103</v>
      </c>
      <c r="N51" s="606">
        <v>4.0893244943323399E-3</v>
      </c>
      <c r="O51" s="606">
        <v>0</v>
      </c>
      <c r="P51" s="606">
        <v>1.1984060426942799E-3</v>
      </c>
      <c r="Q51" s="606">
        <v>5.2877305370266203E-3</v>
      </c>
      <c r="R51" s="606">
        <v>1.7861732211053E-2</v>
      </c>
      <c r="S51" s="606">
        <v>0.14066114116204201</v>
      </c>
      <c r="T51" s="606">
        <v>0.163810603910122</v>
      </c>
      <c r="U51" s="606">
        <v>4.44751350113517E-3</v>
      </c>
      <c r="V51" s="606">
        <v>0</v>
      </c>
      <c r="W51" s="606">
        <v>1.3033759150470601E-3</v>
      </c>
      <c r="X51" s="606">
        <v>5.7508894161822401E-3</v>
      </c>
      <c r="Y51" s="606">
        <v>7.1446928844212304E-2</v>
      </c>
      <c r="Z51" s="606">
        <v>0.32820932937809999</v>
      </c>
      <c r="AA51" s="606">
        <v>0.405407147638494</v>
      </c>
      <c r="AB51" s="606">
        <v>1692.3810158577501</v>
      </c>
      <c r="AC51" s="606">
        <v>0</v>
      </c>
      <c r="AD51" s="606">
        <v>73.658934803823598</v>
      </c>
      <c r="AE51" s="606">
        <v>1766.0399506615699</v>
      </c>
      <c r="AF51" s="606">
        <v>4.8412849635657302E-3</v>
      </c>
      <c r="AG51" s="606">
        <v>0</v>
      </c>
      <c r="AH51" s="606">
        <v>3.4308130748364501E-2</v>
      </c>
      <c r="AI51" s="606">
        <v>3.9149415711930202E-2</v>
      </c>
      <c r="AJ51" s="606">
        <v>2.3739902091021899E-2</v>
      </c>
      <c r="AK51" s="606">
        <v>0</v>
      </c>
      <c r="AL51" s="606">
        <v>3.3323917727786999E-2</v>
      </c>
      <c r="AM51" s="606">
        <v>5.7063819818809002E-2</v>
      </c>
      <c r="AN51" s="606">
        <v>1.3781408091434799E-2</v>
      </c>
      <c r="AO51" s="606">
        <v>0</v>
      </c>
      <c r="AP51" s="606">
        <v>0.12755245191049899</v>
      </c>
      <c r="AQ51" s="606">
        <v>0.14133386000193299</v>
      </c>
      <c r="AR51" s="606">
        <v>1.8898353853377899E-2</v>
      </c>
      <c r="AS51" s="606">
        <v>6.0397868816487198E-2</v>
      </c>
      <c r="AT51" s="606">
        <v>0.28082134946061799</v>
      </c>
      <c r="AU51" s="606">
        <v>2.1765164972561001E-2</v>
      </c>
      <c r="AV51" s="606">
        <v>0.52321659710497803</v>
      </c>
      <c r="AW51" s="606">
        <v>2.01097983363085E-2</v>
      </c>
      <c r="AX51" s="606">
        <v>0</v>
      </c>
      <c r="AY51" s="606">
        <v>0.13965387953373501</v>
      </c>
      <c r="AZ51" s="606">
        <v>0.159763677870044</v>
      </c>
      <c r="BA51" s="606">
        <v>1.8898353853377899E-2</v>
      </c>
      <c r="BB51" s="606">
        <v>6.0397868816462398E-2</v>
      </c>
      <c r="BC51" s="606">
        <v>0.28082134946050202</v>
      </c>
      <c r="BD51" s="606">
        <v>2.1765164972561001E-2</v>
      </c>
      <c r="BE51" s="606">
        <v>0.54164641497294796</v>
      </c>
      <c r="BF51" s="606">
        <v>3.1283327570306501</v>
      </c>
      <c r="BG51" s="606">
        <v>0</v>
      </c>
      <c r="BH51" s="606">
        <v>2.8080491610159202</v>
      </c>
      <c r="BI51" s="606">
        <v>5.93638191804658</v>
      </c>
      <c r="BJ51" s="606">
        <v>1.6747482090661601E-2</v>
      </c>
      <c r="BK51" s="606">
        <v>0</v>
      </c>
      <c r="BL51" s="606">
        <v>7.2891487193799597E-4</v>
      </c>
      <c r="BM51" s="606">
        <v>1.7476396962599599E-2</v>
      </c>
      <c r="BN51" s="608">
        <v>186.411172710942</v>
      </c>
      <c r="BO51" s="602"/>
    </row>
    <row r="52" spans="1:67">
      <c r="A52" s="607" t="s">
        <v>76</v>
      </c>
      <c r="B52" s="606">
        <v>2045</v>
      </c>
      <c r="C52" s="606" t="s">
        <v>143</v>
      </c>
      <c r="D52" s="606" t="s">
        <v>586</v>
      </c>
      <c r="E52" s="606" t="s">
        <v>586</v>
      </c>
      <c r="F52" s="606" t="s">
        <v>569</v>
      </c>
      <c r="G52" s="606">
        <v>78074.345363957007</v>
      </c>
      <c r="H52" s="606">
        <v>1607160.4938574899</v>
      </c>
      <c r="I52" s="606">
        <v>360082.76898972498</v>
      </c>
      <c r="J52" s="606">
        <v>3.2675545364718603E-2</v>
      </c>
      <c r="K52" s="606">
        <v>0</v>
      </c>
      <c r="L52" s="606">
        <v>5.1926484446190697E-2</v>
      </c>
      <c r="M52" s="606">
        <v>8.4602029810909293E-2</v>
      </c>
      <c r="N52" s="606">
        <v>8.7143200983621702E-4</v>
      </c>
      <c r="O52" s="606">
        <v>0</v>
      </c>
      <c r="P52" s="606">
        <v>2.7044486377588502E-4</v>
      </c>
      <c r="Q52" s="606">
        <v>1.1418768736121E-3</v>
      </c>
      <c r="R52" s="606">
        <v>3.5431823816998902E-3</v>
      </c>
      <c r="S52" s="606">
        <v>2.7902561255886599E-2</v>
      </c>
      <c r="T52" s="606">
        <v>3.2587620511198602E-2</v>
      </c>
      <c r="U52" s="606">
        <v>9.4776182091676196E-4</v>
      </c>
      <c r="V52" s="606">
        <v>0</v>
      </c>
      <c r="W52" s="606">
        <v>2.9413346498253199E-4</v>
      </c>
      <c r="X52" s="606">
        <v>1.2418952858992899E-3</v>
      </c>
      <c r="Y52" s="606">
        <v>1.41727295267995E-2</v>
      </c>
      <c r="Z52" s="606">
        <v>6.5105976263735404E-2</v>
      </c>
      <c r="AA52" s="606">
        <v>8.0520601076434301E-2</v>
      </c>
      <c r="AB52" s="606">
        <v>388.27499304732601</v>
      </c>
      <c r="AC52" s="606">
        <v>0</v>
      </c>
      <c r="AD52" s="606">
        <v>17.898195391721401</v>
      </c>
      <c r="AE52" s="606">
        <v>406.17318843904701</v>
      </c>
      <c r="AF52" s="606">
        <v>1.03330833032846E-3</v>
      </c>
      <c r="AG52" s="606">
        <v>0</v>
      </c>
      <c r="AH52" s="606">
        <v>7.5135951937428001E-3</v>
      </c>
      <c r="AI52" s="606">
        <v>8.5469035240712705E-3</v>
      </c>
      <c r="AJ52" s="606">
        <v>5.0118437349374696E-3</v>
      </c>
      <c r="AK52" s="606">
        <v>0</v>
      </c>
      <c r="AL52" s="606">
        <v>7.6814036438131502E-3</v>
      </c>
      <c r="AM52" s="606">
        <v>1.26932473787506E-2</v>
      </c>
      <c r="AN52" s="606">
        <v>3.0017727460732299E-3</v>
      </c>
      <c r="AO52" s="606">
        <v>0</v>
      </c>
      <c r="AP52" s="606">
        <v>2.8218287211010301E-2</v>
      </c>
      <c r="AQ52" s="606">
        <v>3.1220059957083501E-2</v>
      </c>
      <c r="AR52" s="606">
        <v>6.29163575206343E-3</v>
      </c>
      <c r="AS52" s="606">
        <v>1.6459145478152502E-2</v>
      </c>
      <c r="AT52" s="606">
        <v>7.1802552360695396E-2</v>
      </c>
      <c r="AU52" s="606">
        <v>7.4604995174124998E-3</v>
      </c>
      <c r="AV52" s="606">
        <v>0.13323389306540701</v>
      </c>
      <c r="AW52" s="606">
        <v>4.3801797446573597E-3</v>
      </c>
      <c r="AX52" s="606">
        <v>0</v>
      </c>
      <c r="AY52" s="606">
        <v>3.0895472598048999E-2</v>
      </c>
      <c r="AZ52" s="606">
        <v>3.5275652342706403E-2</v>
      </c>
      <c r="BA52" s="606">
        <v>6.29163575206343E-3</v>
      </c>
      <c r="BB52" s="606">
        <v>1.6459145478145702E-2</v>
      </c>
      <c r="BC52" s="606">
        <v>7.1802552360665794E-2</v>
      </c>
      <c r="BD52" s="606">
        <v>7.4604995174124998E-3</v>
      </c>
      <c r="BE52" s="606">
        <v>0.13728948545099301</v>
      </c>
      <c r="BF52" s="606">
        <v>0.63117283544172498</v>
      </c>
      <c r="BG52" s="606">
        <v>0</v>
      </c>
      <c r="BH52" s="606">
        <v>0.60282465021381004</v>
      </c>
      <c r="BI52" s="606">
        <v>1.23399748565553</v>
      </c>
      <c r="BJ52" s="606">
        <v>3.8422958136387101E-3</v>
      </c>
      <c r="BK52" s="606">
        <v>0</v>
      </c>
      <c r="BL52" s="606">
        <v>1.7711715267976699E-4</v>
      </c>
      <c r="BM52" s="606">
        <v>4.0194129663184697E-3</v>
      </c>
      <c r="BN52" s="608">
        <v>42.872880849780003</v>
      </c>
      <c r="BO52" s="602"/>
    </row>
    <row r="53" spans="1:67">
      <c r="A53" s="607" t="s">
        <v>76</v>
      </c>
      <c r="B53" s="606">
        <v>2045</v>
      </c>
      <c r="C53" s="606" t="s">
        <v>142</v>
      </c>
      <c r="D53" s="606" t="s">
        <v>586</v>
      </c>
      <c r="E53" s="606" t="s">
        <v>586</v>
      </c>
      <c r="F53" s="606" t="s">
        <v>569</v>
      </c>
      <c r="G53" s="606">
        <v>234749.81872467801</v>
      </c>
      <c r="H53" s="606">
        <v>4914989.1377726896</v>
      </c>
      <c r="I53" s="606">
        <v>1089659.8147056501</v>
      </c>
      <c r="J53" s="606">
        <v>9.4059642086958398E-2</v>
      </c>
      <c r="K53" s="606">
        <v>0</v>
      </c>
      <c r="L53" s="606">
        <v>0.149921251734008</v>
      </c>
      <c r="M53" s="606">
        <v>0.24398089382096699</v>
      </c>
      <c r="N53" s="606">
        <v>2.59367724006703E-3</v>
      </c>
      <c r="O53" s="606">
        <v>0</v>
      </c>
      <c r="P53" s="606">
        <v>7.9077229169724299E-4</v>
      </c>
      <c r="Q53" s="606">
        <v>3.3844495317642701E-3</v>
      </c>
      <c r="R53" s="606">
        <v>1.0835696239274601E-2</v>
      </c>
      <c r="S53" s="606">
        <v>8.5331107884287993E-2</v>
      </c>
      <c r="T53" s="606">
        <v>9.9551253655326993E-2</v>
      </c>
      <c r="U53" s="606">
        <v>2.8208606479561099E-3</v>
      </c>
      <c r="V53" s="606">
        <v>0</v>
      </c>
      <c r="W53" s="606">
        <v>8.6003701797729404E-4</v>
      </c>
      <c r="X53" s="606">
        <v>3.6808976659334098E-3</v>
      </c>
      <c r="Y53" s="606">
        <v>4.3342784957098701E-2</v>
      </c>
      <c r="Z53" s="606">
        <v>0.19910591839667199</v>
      </c>
      <c r="AA53" s="606">
        <v>0.24612960101970399</v>
      </c>
      <c r="AB53" s="606">
        <v>1179.3191242062901</v>
      </c>
      <c r="AC53" s="606">
        <v>0</v>
      </c>
      <c r="AD53" s="606">
        <v>55.086337078410402</v>
      </c>
      <c r="AE53" s="606">
        <v>1234.4054612847001</v>
      </c>
      <c r="AF53" s="606">
        <v>4.0984654559582199E-3</v>
      </c>
      <c r="AG53" s="606">
        <v>0</v>
      </c>
      <c r="AH53" s="606">
        <v>2.9138461893240701E-2</v>
      </c>
      <c r="AI53" s="606">
        <v>3.3236927349199002E-2</v>
      </c>
      <c r="AJ53" s="606">
        <v>1.46297199002264E-2</v>
      </c>
      <c r="AK53" s="606">
        <v>0</v>
      </c>
      <c r="AL53" s="606">
        <v>2.2814787907468499E-2</v>
      </c>
      <c r="AM53" s="606">
        <v>3.7444507807694899E-2</v>
      </c>
      <c r="AN53" s="606">
        <v>1.2367730741763399E-2</v>
      </c>
      <c r="AO53" s="606">
        <v>0</v>
      </c>
      <c r="AP53" s="606">
        <v>0.113526000127568</v>
      </c>
      <c r="AQ53" s="606">
        <v>0.12589373086933101</v>
      </c>
      <c r="AR53" s="606">
        <v>2.5453982763187201E-2</v>
      </c>
      <c r="AS53" s="606">
        <v>4.9513127669486699E-2</v>
      </c>
      <c r="AT53" s="606">
        <v>0.21572632716345599</v>
      </c>
      <c r="AU53" s="606">
        <v>3.0053410545155899E-2</v>
      </c>
      <c r="AV53" s="606">
        <v>0.44664057901061799</v>
      </c>
      <c r="AW53" s="606">
        <v>1.8046963666158398E-2</v>
      </c>
      <c r="AX53" s="606">
        <v>0</v>
      </c>
      <c r="AY53" s="606">
        <v>0.12429668037182801</v>
      </c>
      <c r="AZ53" s="606">
        <v>0.14234364403798599</v>
      </c>
      <c r="BA53" s="606">
        <v>2.5453982763187201E-2</v>
      </c>
      <c r="BB53" s="606">
        <v>4.9513127669466403E-2</v>
      </c>
      <c r="BC53" s="606">
        <v>0.21572632716336701</v>
      </c>
      <c r="BD53" s="606">
        <v>3.0053410545155899E-2</v>
      </c>
      <c r="BE53" s="606">
        <v>0.46309049217916398</v>
      </c>
      <c r="BF53" s="606">
        <v>2.2085468588208799</v>
      </c>
      <c r="BG53" s="606">
        <v>0</v>
      </c>
      <c r="BH53" s="606">
        <v>2.3683645315909199</v>
      </c>
      <c r="BI53" s="606">
        <v>4.5769113904118104</v>
      </c>
      <c r="BJ53" s="606">
        <v>1.16703187560925E-2</v>
      </c>
      <c r="BK53" s="606">
        <v>0</v>
      </c>
      <c r="BL53" s="606">
        <v>5.4512396145808102E-4</v>
      </c>
      <c r="BM53" s="606">
        <v>1.2215442717550601E-2</v>
      </c>
      <c r="BN53" s="608">
        <v>130.29544974487899</v>
      </c>
      <c r="BO53" s="602"/>
    </row>
    <row r="54" spans="1:67">
      <c r="A54" s="607" t="s">
        <v>76</v>
      </c>
      <c r="B54" s="606">
        <v>2045</v>
      </c>
      <c r="C54" s="606" t="s">
        <v>141</v>
      </c>
      <c r="D54" s="606" t="s">
        <v>586</v>
      </c>
      <c r="E54" s="606" t="s">
        <v>586</v>
      </c>
      <c r="F54" s="606" t="s">
        <v>569</v>
      </c>
      <c r="G54" s="606">
        <v>14591.1402857986</v>
      </c>
      <c r="H54" s="606">
        <v>340752.97570116998</v>
      </c>
      <c r="I54" s="606">
        <v>217386.249459374</v>
      </c>
      <c r="J54" s="606">
        <v>4.0404876474499897E-2</v>
      </c>
      <c r="K54" s="606">
        <v>3.7745869139327402E-4</v>
      </c>
      <c r="L54" s="606">
        <v>7.1321855026392197E-2</v>
      </c>
      <c r="M54" s="606">
        <v>0.112104190192285</v>
      </c>
      <c r="N54" s="606">
        <v>7.6941917372212298E-4</v>
      </c>
      <c r="O54" s="606">
        <v>0</v>
      </c>
      <c r="P54" s="606">
        <v>7.2391803277757697E-5</v>
      </c>
      <c r="Q54" s="606">
        <v>8.4181097699988097E-4</v>
      </c>
      <c r="R54" s="606">
        <v>7.5123171869308605E-4</v>
      </c>
      <c r="S54" s="606">
        <v>1.2305175552192699E-2</v>
      </c>
      <c r="T54" s="606">
        <v>1.38982182478857E-2</v>
      </c>
      <c r="U54" s="606">
        <v>8.3681355390216399E-4</v>
      </c>
      <c r="V54" s="606">
        <v>0</v>
      </c>
      <c r="W54" s="606">
        <v>7.8732691156101404E-5</v>
      </c>
      <c r="X54" s="606">
        <v>9.1554624505826496E-4</v>
      </c>
      <c r="Y54" s="606">
        <v>3.0049268747723398E-3</v>
      </c>
      <c r="Z54" s="606">
        <v>2.8712076288449701E-2</v>
      </c>
      <c r="AA54" s="606">
        <v>3.2632549408280302E-2</v>
      </c>
      <c r="AB54" s="606">
        <v>304.80971534563997</v>
      </c>
      <c r="AC54" s="606">
        <v>1.57863535224396</v>
      </c>
      <c r="AD54" s="606">
        <v>3.7159887096221098</v>
      </c>
      <c r="AE54" s="606">
        <v>310.10433940750602</v>
      </c>
      <c r="AF54" s="606">
        <v>6.8711581707638699E-4</v>
      </c>
      <c r="AG54" s="606">
        <v>1.30529016980691E-3</v>
      </c>
      <c r="AH54" s="606">
        <v>2.1206476829192401E-3</v>
      </c>
      <c r="AI54" s="606">
        <v>4.11305366980254E-3</v>
      </c>
      <c r="AJ54" s="606">
        <v>3.1735503240114902E-3</v>
      </c>
      <c r="AK54" s="606">
        <v>3.4796957443391398E-5</v>
      </c>
      <c r="AL54" s="606">
        <v>6.2322629714329E-3</v>
      </c>
      <c r="AM54" s="606">
        <v>9.4406102528877892E-3</v>
      </c>
      <c r="AN54" s="606">
        <v>2.2393386426498001E-3</v>
      </c>
      <c r="AO54" s="606">
        <v>4.3352420132423504E-3</v>
      </c>
      <c r="AP54" s="606">
        <v>9.2133406369535997E-3</v>
      </c>
      <c r="AQ54" s="606">
        <v>1.5787921292845699E-2</v>
      </c>
      <c r="AR54" s="606">
        <v>3.1422644913774102E-4</v>
      </c>
      <c r="AS54" s="606">
        <v>1.1970777781864599E-2</v>
      </c>
      <c r="AT54" s="606">
        <v>6.2695502593594202E-2</v>
      </c>
      <c r="AU54" s="606">
        <v>2.4727508329587999E-4</v>
      </c>
      <c r="AV54" s="606">
        <v>9.1015703200738193E-2</v>
      </c>
      <c r="AW54" s="606">
        <v>3.2676376906927598E-3</v>
      </c>
      <c r="AX54" s="606">
        <v>6.3259749691019799E-3</v>
      </c>
      <c r="AY54" s="606">
        <v>1.0087448293970999E-2</v>
      </c>
      <c r="AZ54" s="606">
        <v>1.9681060953765799E-2</v>
      </c>
      <c r="BA54" s="606">
        <v>3.1422644913774102E-4</v>
      </c>
      <c r="BB54" s="606">
        <v>1.19707777818597E-2</v>
      </c>
      <c r="BC54" s="606">
        <v>6.2695502593568403E-2</v>
      </c>
      <c r="BD54" s="606">
        <v>2.4727508329587999E-4</v>
      </c>
      <c r="BE54" s="606">
        <v>9.4908842861627499E-2</v>
      </c>
      <c r="BF54" s="606">
        <v>5.63320373005185E-2</v>
      </c>
      <c r="BG54" s="606">
        <v>6.0819896228318099E-2</v>
      </c>
      <c r="BH54" s="606">
        <v>0.33192499010364501</v>
      </c>
      <c r="BI54" s="606">
        <v>0.44907692363248197</v>
      </c>
      <c r="BJ54" s="606">
        <v>3.0163392291560902E-3</v>
      </c>
      <c r="BK54" s="606">
        <v>1.5621876540603601E-5</v>
      </c>
      <c r="BL54" s="606">
        <v>3.6772720670088099E-5</v>
      </c>
      <c r="BM54" s="606">
        <v>3.0687338263667798E-3</v>
      </c>
      <c r="BN54" s="608">
        <v>32.7325061644557</v>
      </c>
      <c r="BO54" s="602"/>
    </row>
    <row r="55" spans="1:67">
      <c r="A55" s="607" t="s">
        <v>76</v>
      </c>
      <c r="B55" s="606">
        <v>2045</v>
      </c>
      <c r="C55" s="606" t="s">
        <v>140</v>
      </c>
      <c r="D55" s="606" t="s">
        <v>586</v>
      </c>
      <c r="E55" s="606" t="s">
        <v>586</v>
      </c>
      <c r="F55" s="606" t="s">
        <v>569</v>
      </c>
      <c r="G55" s="606">
        <v>2255.5471279746198</v>
      </c>
      <c r="H55" s="606">
        <v>51650.8785070105</v>
      </c>
      <c r="I55" s="606">
        <v>33604.291441601097</v>
      </c>
      <c r="J55" s="606">
        <v>7.1307273646066902E-3</v>
      </c>
      <c r="K55" s="606">
        <v>5.7804344730678002E-5</v>
      </c>
      <c r="L55" s="606">
        <v>1.0765609154971101E-2</v>
      </c>
      <c r="M55" s="606">
        <v>1.79541408643084E-2</v>
      </c>
      <c r="N55" s="606">
        <v>1.1665415758277001E-4</v>
      </c>
      <c r="O55" s="606">
        <v>0</v>
      </c>
      <c r="P55" s="606">
        <v>1.1173239369711399E-5</v>
      </c>
      <c r="Q55" s="606">
        <v>1.2782739695248199E-4</v>
      </c>
      <c r="R55" s="606">
        <v>1.13870695194918E-4</v>
      </c>
      <c r="S55" s="606">
        <v>2.1760689851748798E-3</v>
      </c>
      <c r="T55" s="606">
        <v>2.41776707732228E-3</v>
      </c>
      <c r="U55" s="606">
        <v>1.2687203999877999E-4</v>
      </c>
      <c r="V55" s="606">
        <v>0</v>
      </c>
      <c r="W55" s="606">
        <v>1.2151917270708001E-5</v>
      </c>
      <c r="X55" s="606">
        <v>1.3902395726948799E-4</v>
      </c>
      <c r="Y55" s="606">
        <v>4.5548278077967301E-4</v>
      </c>
      <c r="Z55" s="606">
        <v>5.0774942987413998E-3</v>
      </c>
      <c r="AA55" s="606">
        <v>5.6720010367905596E-3</v>
      </c>
      <c r="AB55" s="606">
        <v>52.927513529820303</v>
      </c>
      <c r="AC55" s="606">
        <v>0.28043550836581199</v>
      </c>
      <c r="AD55" s="606">
        <v>0.653554763112416</v>
      </c>
      <c r="AE55" s="606">
        <v>53.861503801298603</v>
      </c>
      <c r="AF55" s="606">
        <v>1.03560243294512E-4</v>
      </c>
      <c r="AG55" s="606">
        <v>2.0041848644189599E-4</v>
      </c>
      <c r="AH55" s="606">
        <v>3.1629085477850199E-4</v>
      </c>
      <c r="AI55" s="606">
        <v>6.2026958451491098E-4</v>
      </c>
      <c r="AJ55" s="606">
        <v>5.4262769780844596E-4</v>
      </c>
      <c r="AK55" s="606">
        <v>5.2901882074533302E-6</v>
      </c>
      <c r="AL55" s="606">
        <v>9.4097974806992598E-4</v>
      </c>
      <c r="AM55" s="606">
        <v>1.48889763408582E-3</v>
      </c>
      <c r="AN55" s="606">
        <v>3.3718655176117799E-4</v>
      </c>
      <c r="AO55" s="606">
        <v>6.6390264560972504E-4</v>
      </c>
      <c r="AP55" s="606">
        <v>1.3555596026207999E-3</v>
      </c>
      <c r="AQ55" s="606">
        <v>2.3566487999916999E-3</v>
      </c>
      <c r="AR55" s="606">
        <v>4.7599840939781897E-5</v>
      </c>
      <c r="AS55" s="606">
        <v>1.7536237730065799E-3</v>
      </c>
      <c r="AT55" s="606">
        <v>9.4041175755240295E-3</v>
      </c>
      <c r="AU55" s="606">
        <v>3.7397952445375703E-5</v>
      </c>
      <c r="AV55" s="606">
        <v>1.35993879419074E-2</v>
      </c>
      <c r="AW55" s="606">
        <v>4.9202182481243204E-4</v>
      </c>
      <c r="AX55" s="606">
        <v>9.6876518201728396E-4</v>
      </c>
      <c r="AY55" s="606">
        <v>1.4841671375947999E-3</v>
      </c>
      <c r="AZ55" s="606">
        <v>2.9449541444245201E-3</v>
      </c>
      <c r="BA55" s="606">
        <v>4.7599840939781897E-5</v>
      </c>
      <c r="BB55" s="606">
        <v>1.75362377300586E-3</v>
      </c>
      <c r="BC55" s="606">
        <v>9.4041175755201593E-3</v>
      </c>
      <c r="BD55" s="606">
        <v>3.7397952445375703E-5</v>
      </c>
      <c r="BE55" s="606">
        <v>1.4187693286335699E-2</v>
      </c>
      <c r="BF55" s="606">
        <v>8.5078258976431908E-3</v>
      </c>
      <c r="BG55" s="606">
        <v>9.4017423980916892E-3</v>
      </c>
      <c r="BH55" s="606">
        <v>5.1361131622202398E-2</v>
      </c>
      <c r="BI55" s="606">
        <v>6.9270699917937203E-2</v>
      </c>
      <c r="BJ55" s="606">
        <v>5.2376065238161603E-4</v>
      </c>
      <c r="BK55" s="606">
        <v>2.7751366919946502E-6</v>
      </c>
      <c r="BL55" s="606">
        <v>6.4674541890581997E-6</v>
      </c>
      <c r="BM55" s="606">
        <v>5.3300324326266901E-4</v>
      </c>
      <c r="BN55" s="608">
        <v>5.68525422305067</v>
      </c>
      <c r="BO55" s="602"/>
    </row>
    <row r="56" spans="1:67">
      <c r="A56" s="607" t="s">
        <v>76</v>
      </c>
      <c r="B56" s="606">
        <v>2045</v>
      </c>
      <c r="C56" s="606" t="s">
        <v>139</v>
      </c>
      <c r="D56" s="606" t="s">
        <v>586</v>
      </c>
      <c r="E56" s="606" t="s">
        <v>586</v>
      </c>
      <c r="F56" s="606" t="s">
        <v>569</v>
      </c>
      <c r="G56" s="606">
        <v>33245.182629401999</v>
      </c>
      <c r="H56" s="606">
        <v>191605.63949543799</v>
      </c>
      <c r="I56" s="606">
        <v>66490.365258803999</v>
      </c>
      <c r="J56" s="606">
        <v>0.24145298647871999</v>
      </c>
      <c r="K56" s="606">
        <v>0</v>
      </c>
      <c r="L56" s="606">
        <v>2.0061405797560699E-2</v>
      </c>
      <c r="M56" s="606">
        <v>0.26151439227628098</v>
      </c>
      <c r="N56" s="606">
        <v>4.4810660780668599E-4</v>
      </c>
      <c r="O56" s="606">
        <v>0</v>
      </c>
      <c r="P56" s="606">
        <v>2.10236691162353E-4</v>
      </c>
      <c r="Q56" s="606">
        <v>6.5834329896903999E-4</v>
      </c>
      <c r="R56" s="606">
        <v>2.11209063652722E-4</v>
      </c>
      <c r="S56" s="606">
        <v>1.0644936808097199E-3</v>
      </c>
      <c r="T56" s="606">
        <v>1.93404604343148E-3</v>
      </c>
      <c r="U56" s="606">
        <v>4.8069087524872802E-4</v>
      </c>
      <c r="V56" s="606">
        <v>0</v>
      </c>
      <c r="W56" s="606">
        <v>2.2548020056389399E-4</v>
      </c>
      <c r="X56" s="606">
        <v>7.0617107581262203E-4</v>
      </c>
      <c r="Y56" s="606">
        <v>8.4483625461088995E-4</v>
      </c>
      <c r="Z56" s="606">
        <v>2.48381858855601E-3</v>
      </c>
      <c r="AA56" s="606">
        <v>4.0348259189795302E-3</v>
      </c>
      <c r="AB56" s="606">
        <v>44.870199444667698</v>
      </c>
      <c r="AC56" s="606">
        <v>0</v>
      </c>
      <c r="AD56" s="606">
        <v>4.2358859313153401</v>
      </c>
      <c r="AE56" s="606">
        <v>49.106085375983099</v>
      </c>
      <c r="AF56" s="606">
        <v>6.7083216351455893E-2</v>
      </c>
      <c r="AG56" s="606">
        <v>0</v>
      </c>
      <c r="AH56" s="606">
        <v>1.80090920588604E-2</v>
      </c>
      <c r="AI56" s="606">
        <v>8.50923084103163E-2</v>
      </c>
      <c r="AJ56" s="606">
        <v>1.38586986023431E-2</v>
      </c>
      <c r="AK56" s="606">
        <v>0</v>
      </c>
      <c r="AL56" s="606">
        <v>1.1374725102845399E-3</v>
      </c>
      <c r="AM56" s="606">
        <v>1.4996171112627601E-2</v>
      </c>
      <c r="AN56" s="606">
        <v>0.44744354422114802</v>
      </c>
      <c r="AO56" s="606">
        <v>0</v>
      </c>
      <c r="AP56" s="606">
        <v>0.136234202253462</v>
      </c>
      <c r="AQ56" s="606">
        <v>0.58367774647461002</v>
      </c>
      <c r="AR56" s="606">
        <v>4.9852329102542101E-2</v>
      </c>
      <c r="AS56" s="606">
        <v>4.1881411752508098E-2</v>
      </c>
      <c r="AT56" s="606">
        <v>9.1251797194917106E-2</v>
      </c>
      <c r="AU56" s="606">
        <v>3.06358181761201E-2</v>
      </c>
      <c r="AV56" s="606">
        <v>0.79729910270069704</v>
      </c>
      <c r="AW56" s="606">
        <v>0.56209991041789997</v>
      </c>
      <c r="AX56" s="606">
        <v>0</v>
      </c>
      <c r="AY56" s="606">
        <v>0.148448165862584</v>
      </c>
      <c r="AZ56" s="606">
        <v>0.710548076280485</v>
      </c>
      <c r="BA56" s="606">
        <v>4.9852329102542101E-2</v>
      </c>
      <c r="BB56" s="606">
        <v>4.1881411752490903E-2</v>
      </c>
      <c r="BC56" s="606">
        <v>9.1251797194879594E-2</v>
      </c>
      <c r="BD56" s="606">
        <v>3.06358181761201E-2</v>
      </c>
      <c r="BE56" s="606">
        <v>0.92416943250651795</v>
      </c>
      <c r="BF56" s="606">
        <v>3.6693512822563901</v>
      </c>
      <c r="BG56" s="606">
        <v>0</v>
      </c>
      <c r="BH56" s="606">
        <v>0.69706554702671397</v>
      </c>
      <c r="BI56" s="606">
        <v>4.3664168292831098</v>
      </c>
      <c r="BJ56" s="606">
        <v>4.44026997799384E-4</v>
      </c>
      <c r="BK56" s="606">
        <v>0</v>
      </c>
      <c r="BL56" s="606">
        <v>4.1917525136521601E-5</v>
      </c>
      <c r="BM56" s="606">
        <v>4.8594452293590501E-4</v>
      </c>
      <c r="BN56" s="608">
        <v>5.18330457855809</v>
      </c>
      <c r="BO56" s="602"/>
    </row>
    <row r="57" spans="1:67">
      <c r="A57" s="607" t="s">
        <v>76</v>
      </c>
      <c r="B57" s="606">
        <v>2045</v>
      </c>
      <c r="C57" s="606" t="s">
        <v>138</v>
      </c>
      <c r="D57" s="606" t="s">
        <v>586</v>
      </c>
      <c r="E57" s="606" t="s">
        <v>586</v>
      </c>
      <c r="F57" s="606" t="s">
        <v>569</v>
      </c>
      <c r="G57" s="606">
        <v>150006.05742072899</v>
      </c>
      <c r="H57" s="606">
        <v>3152565.5321934801</v>
      </c>
      <c r="I57" s="606">
        <v>692371.41541461798</v>
      </c>
      <c r="J57" s="606">
        <v>6.34542840445326E-2</v>
      </c>
      <c r="K57" s="606">
        <v>0</v>
      </c>
      <c r="L57" s="606">
        <v>0.103511049743333</v>
      </c>
      <c r="M57" s="606">
        <v>0.16696533378786599</v>
      </c>
      <c r="N57" s="606">
        <v>1.66820688587649E-3</v>
      </c>
      <c r="O57" s="606">
        <v>0</v>
      </c>
      <c r="P57" s="606">
        <v>5.14887386188577E-4</v>
      </c>
      <c r="Q57" s="606">
        <v>2.1830942720650701E-3</v>
      </c>
      <c r="R57" s="606">
        <v>6.9502172891344697E-3</v>
      </c>
      <c r="S57" s="606">
        <v>5.47329611519339E-2</v>
      </c>
      <c r="T57" s="606">
        <v>6.3866272713133498E-2</v>
      </c>
      <c r="U57" s="606">
        <v>1.81432719704816E-3</v>
      </c>
      <c r="V57" s="606">
        <v>0</v>
      </c>
      <c r="W57" s="606">
        <v>5.5998701125618995E-4</v>
      </c>
      <c r="X57" s="606">
        <v>2.3743142083043501E-3</v>
      </c>
      <c r="Y57" s="606">
        <v>2.7800869156537799E-2</v>
      </c>
      <c r="Z57" s="606">
        <v>0.127710242687845</v>
      </c>
      <c r="AA57" s="606">
        <v>0.15788542605268799</v>
      </c>
      <c r="AB57" s="606">
        <v>915.84393232591106</v>
      </c>
      <c r="AC57" s="606">
        <v>0</v>
      </c>
      <c r="AD57" s="606">
        <v>42.457593358930097</v>
      </c>
      <c r="AE57" s="606">
        <v>958.30152568484095</v>
      </c>
      <c r="AF57" s="606">
        <v>2.6895261276993002E-3</v>
      </c>
      <c r="AG57" s="606">
        <v>0</v>
      </c>
      <c r="AH57" s="606">
        <v>1.9089932161889599E-2</v>
      </c>
      <c r="AI57" s="606">
        <v>2.17794582895889E-2</v>
      </c>
      <c r="AJ57" s="606">
        <v>9.6585429502105396E-3</v>
      </c>
      <c r="AK57" s="606">
        <v>0</v>
      </c>
      <c r="AL57" s="606">
        <v>1.5207380336631901E-2</v>
      </c>
      <c r="AM57" s="606">
        <v>2.4865923286842499E-2</v>
      </c>
      <c r="AN57" s="606">
        <v>8.1971415689303401E-3</v>
      </c>
      <c r="AO57" s="606">
        <v>0</v>
      </c>
      <c r="AP57" s="606">
        <v>7.5691752090478001E-2</v>
      </c>
      <c r="AQ57" s="606">
        <v>8.3888893659408298E-2</v>
      </c>
      <c r="AR57" s="606">
        <v>2.6269067613731701E-2</v>
      </c>
      <c r="AS57" s="606">
        <v>4.7028585532721899E-2</v>
      </c>
      <c r="AT57" s="606">
        <v>0.14261267314793599</v>
      </c>
      <c r="AU57" s="606">
        <v>3.0935614645372402E-2</v>
      </c>
      <c r="AV57" s="606">
        <v>0.33073483459917102</v>
      </c>
      <c r="AW57" s="606">
        <v>1.1961249735272799E-2</v>
      </c>
      <c r="AX57" s="606">
        <v>0</v>
      </c>
      <c r="AY57" s="606">
        <v>8.2872941051405399E-2</v>
      </c>
      <c r="AZ57" s="606">
        <v>9.4834190786678194E-2</v>
      </c>
      <c r="BA57" s="606">
        <v>2.6269067613731701E-2</v>
      </c>
      <c r="BB57" s="606">
        <v>4.7028585532702602E-2</v>
      </c>
      <c r="BC57" s="606">
        <v>0.14261267314787801</v>
      </c>
      <c r="BD57" s="606">
        <v>3.0935614645372402E-2</v>
      </c>
      <c r="BE57" s="606">
        <v>0.34168013172636302</v>
      </c>
      <c r="BF57" s="606">
        <v>1.4242467029460799</v>
      </c>
      <c r="BG57" s="606">
        <v>0</v>
      </c>
      <c r="BH57" s="606">
        <v>1.52056942684532</v>
      </c>
      <c r="BI57" s="606">
        <v>2.9448161297914002</v>
      </c>
      <c r="BJ57" s="606">
        <v>9.0630181447027801E-3</v>
      </c>
      <c r="BK57" s="606">
        <v>0</v>
      </c>
      <c r="BL57" s="606">
        <v>4.2015230478751898E-4</v>
      </c>
      <c r="BM57" s="606">
        <v>9.4831704494903E-3</v>
      </c>
      <c r="BN57" s="608">
        <v>101.151795091994</v>
      </c>
      <c r="BO57" s="602"/>
    </row>
    <row r="58" spans="1:67">
      <c r="A58" s="607" t="s">
        <v>76</v>
      </c>
      <c r="B58" s="606">
        <v>2045</v>
      </c>
      <c r="C58" s="606" t="s">
        <v>137</v>
      </c>
      <c r="D58" s="606" t="s">
        <v>586</v>
      </c>
      <c r="E58" s="606" t="s">
        <v>586</v>
      </c>
      <c r="F58" s="606" t="s">
        <v>569</v>
      </c>
      <c r="G58" s="606">
        <v>2374.4705005763699</v>
      </c>
      <c r="H58" s="606">
        <v>16042.7863425214</v>
      </c>
      <c r="I58" s="606">
        <v>237.54202887765999</v>
      </c>
      <c r="J58" s="606">
        <v>3.4961851038440499E-3</v>
      </c>
      <c r="K58" s="606">
        <v>0</v>
      </c>
      <c r="L58" s="606">
        <v>7.2656587542496294E-5</v>
      </c>
      <c r="M58" s="606">
        <v>3.5688416913865501E-3</v>
      </c>
      <c r="N58" s="606">
        <v>2.2930880325280299E-5</v>
      </c>
      <c r="O58" s="606">
        <v>0</v>
      </c>
      <c r="P58" s="606">
        <v>7.7638989364294297E-8</v>
      </c>
      <c r="Q58" s="606">
        <v>2.3008519314644598E-5</v>
      </c>
      <c r="R58" s="606">
        <v>5.3052434532313899E-5</v>
      </c>
      <c r="S58" s="606">
        <v>9.8783633099168607E-4</v>
      </c>
      <c r="T58" s="606">
        <v>1.0638972848386399E-3</v>
      </c>
      <c r="U58" s="606">
        <v>2.4939424587348701E-5</v>
      </c>
      <c r="V58" s="606">
        <v>0</v>
      </c>
      <c r="W58" s="606">
        <v>8.4439484783064703E-8</v>
      </c>
      <c r="X58" s="606">
        <v>2.5023864072131799E-5</v>
      </c>
      <c r="Y58" s="606">
        <v>2.12209738129255E-4</v>
      </c>
      <c r="Z58" s="606">
        <v>2.3049514389806001E-3</v>
      </c>
      <c r="AA58" s="606">
        <v>2.5421850411819799E-3</v>
      </c>
      <c r="AB58" s="606">
        <v>24.6551907008438</v>
      </c>
      <c r="AC58" s="606">
        <v>0</v>
      </c>
      <c r="AD58" s="606">
        <v>5.2285255930404903E-3</v>
      </c>
      <c r="AE58" s="606">
        <v>24.660419226436801</v>
      </c>
      <c r="AF58" s="606">
        <v>6.7371696604356395E-5</v>
      </c>
      <c r="AG58" s="606">
        <v>0</v>
      </c>
      <c r="AH58" s="606">
        <v>7.10698191906337E-6</v>
      </c>
      <c r="AI58" s="606">
        <v>7.4478678523419797E-5</v>
      </c>
      <c r="AJ58" s="606">
        <v>3.2063932109745402E-4</v>
      </c>
      <c r="AK58" s="606">
        <v>0</v>
      </c>
      <c r="AL58" s="606">
        <v>8.4348494755175406E-6</v>
      </c>
      <c r="AM58" s="606">
        <v>3.29074170572971E-4</v>
      </c>
      <c r="AN58" s="606">
        <v>1.9049076123155701E-4</v>
      </c>
      <c r="AO58" s="606">
        <v>0</v>
      </c>
      <c r="AP58" s="606">
        <v>2.5749855642294698E-5</v>
      </c>
      <c r="AQ58" s="606">
        <v>2.16240616873852E-4</v>
      </c>
      <c r="AR58" s="606">
        <v>6.8624348136395497E-5</v>
      </c>
      <c r="AS58" s="606">
        <v>5.0424377533893796E-6</v>
      </c>
      <c r="AT58" s="606">
        <v>6.2439526534259894E-5</v>
      </c>
      <c r="AU58" s="606">
        <v>3.9772348277332197E-5</v>
      </c>
      <c r="AV58" s="606">
        <v>3.9211927757522899E-4</v>
      </c>
      <c r="AW58" s="606">
        <v>2.77963671627817E-4</v>
      </c>
      <c r="AX58" s="606">
        <v>0</v>
      </c>
      <c r="AY58" s="606">
        <v>2.8192850737227701E-5</v>
      </c>
      <c r="AZ58" s="606">
        <v>3.0615652236504502E-4</v>
      </c>
      <c r="BA58" s="606">
        <v>6.8624348136395497E-5</v>
      </c>
      <c r="BB58" s="606">
        <v>5.0424377533873103E-6</v>
      </c>
      <c r="BC58" s="606">
        <v>6.2439526534234293E-5</v>
      </c>
      <c r="BD58" s="606">
        <v>3.9772348277332197E-5</v>
      </c>
      <c r="BE58" s="606">
        <v>4.8203518306639398E-4</v>
      </c>
      <c r="BF58" s="606">
        <v>2.94379748875815E-3</v>
      </c>
      <c r="BG58" s="606">
        <v>0</v>
      </c>
      <c r="BH58" s="606">
        <v>5.7014178594422401E-4</v>
      </c>
      <c r="BI58" s="606">
        <v>3.51393927470237E-3</v>
      </c>
      <c r="BJ58" s="606">
        <v>2.43983098862021E-4</v>
      </c>
      <c r="BK58" s="606">
        <v>0</v>
      </c>
      <c r="BL58" s="606">
        <v>5.1740499278545199E-8</v>
      </c>
      <c r="BM58" s="606">
        <v>2.4403483936129899E-4</v>
      </c>
      <c r="BN58" s="608">
        <v>2.60298622679599</v>
      </c>
      <c r="BO58" s="602"/>
    </row>
    <row r="59" spans="1:67">
      <c r="A59" s="607" t="s">
        <v>76</v>
      </c>
      <c r="B59" s="606">
        <v>2045</v>
      </c>
      <c r="C59" s="606" t="s">
        <v>136</v>
      </c>
      <c r="D59" s="606" t="s">
        <v>586</v>
      </c>
      <c r="E59" s="606" t="s">
        <v>586</v>
      </c>
      <c r="F59" s="606" t="s">
        <v>569</v>
      </c>
      <c r="G59" s="606">
        <v>416.57271501192503</v>
      </c>
      <c r="H59" s="606">
        <v>16304.711589918599</v>
      </c>
      <c r="I59" s="606">
        <v>8334.7868819586092</v>
      </c>
      <c r="J59" s="606">
        <v>6.95496094332474E-3</v>
      </c>
      <c r="K59" s="606">
        <v>3.0006136609552999E-5</v>
      </c>
      <c r="L59" s="606">
        <v>3.5782977907661299E-3</v>
      </c>
      <c r="M59" s="606">
        <v>1.05632648707004E-2</v>
      </c>
      <c r="N59" s="606">
        <v>2.3091364178535699E-5</v>
      </c>
      <c r="O59" s="606">
        <v>0</v>
      </c>
      <c r="P59" s="606">
        <v>2.5676863599188098E-6</v>
      </c>
      <c r="Q59" s="606">
        <v>2.5659050538454501E-5</v>
      </c>
      <c r="R59" s="606">
        <v>5.3918604020781703E-5</v>
      </c>
      <c r="S59" s="606">
        <v>1.0039644068669501E-3</v>
      </c>
      <c r="T59" s="606">
        <v>1.0835420614261899E-3</v>
      </c>
      <c r="U59" s="606">
        <v>2.5113965420451202E-5</v>
      </c>
      <c r="V59" s="606">
        <v>0</v>
      </c>
      <c r="W59" s="606">
        <v>2.79259319436426E-6</v>
      </c>
      <c r="X59" s="606">
        <v>2.79065586148155E-5</v>
      </c>
      <c r="Y59" s="606">
        <v>2.15674416083127E-4</v>
      </c>
      <c r="Z59" s="606">
        <v>2.3425836160228999E-3</v>
      </c>
      <c r="AA59" s="606">
        <v>2.58616459072084E-3</v>
      </c>
      <c r="AB59" s="606">
        <v>25.085881731922701</v>
      </c>
      <c r="AC59" s="606">
        <v>0.14064690709224401</v>
      </c>
      <c r="AD59" s="606">
        <v>0.18931063624244401</v>
      </c>
      <c r="AE59" s="606">
        <v>25.415839275257401</v>
      </c>
      <c r="AF59" s="606">
        <v>5.8353126551323899E-5</v>
      </c>
      <c r="AG59" s="606">
        <v>9.3212194107979298E-5</v>
      </c>
      <c r="AH59" s="606">
        <v>2.2216549776137601E-4</v>
      </c>
      <c r="AI59" s="606">
        <v>3.7373081842067901E-4</v>
      </c>
      <c r="AJ59" s="606">
        <v>4.05419742726894E-4</v>
      </c>
      <c r="AK59" s="606">
        <v>2.5055606680074901E-6</v>
      </c>
      <c r="AL59" s="606">
        <v>2.7561565198246102E-4</v>
      </c>
      <c r="AM59" s="606">
        <v>6.83540955377363E-4</v>
      </c>
      <c r="AN59" s="606">
        <v>2.15556226857937E-4</v>
      </c>
      <c r="AO59" s="606">
        <v>3.4463072927174798E-4</v>
      </c>
      <c r="AP59" s="606">
        <v>1.0693156609051901E-3</v>
      </c>
      <c r="AQ59" s="606">
        <v>1.6295026170348699E-3</v>
      </c>
      <c r="AR59" s="606">
        <v>1.3059374300176301E-5</v>
      </c>
      <c r="AS59" s="606">
        <v>2.02800699787089E-4</v>
      </c>
      <c r="AT59" s="606">
        <v>2.4465126781785802E-3</v>
      </c>
      <c r="AU59" s="606">
        <v>7.6462413727597508E-6</v>
      </c>
      <c r="AV59" s="606">
        <v>4.2995216106734803E-3</v>
      </c>
      <c r="AW59" s="606">
        <v>3.1453914023072798E-4</v>
      </c>
      <c r="AX59" s="606">
        <v>5.0288435116126596E-4</v>
      </c>
      <c r="AY59" s="606">
        <v>1.1707660515720599E-3</v>
      </c>
      <c r="AZ59" s="606">
        <v>1.98818954296406E-3</v>
      </c>
      <c r="BA59" s="606">
        <v>1.3059374300176301E-5</v>
      </c>
      <c r="BB59" s="606">
        <v>2.02800699787005E-4</v>
      </c>
      <c r="BC59" s="606">
        <v>2.4465126781775702E-3</v>
      </c>
      <c r="BD59" s="606">
        <v>7.6462413727597508E-6</v>
      </c>
      <c r="BE59" s="606">
        <v>4.6582085366015796E-3</v>
      </c>
      <c r="BF59" s="606">
        <v>3.7485899050080001E-3</v>
      </c>
      <c r="BG59" s="606">
        <v>2.66341072940247E-3</v>
      </c>
      <c r="BH59" s="606">
        <v>2.0735515518785701E-2</v>
      </c>
      <c r="BI59" s="606">
        <v>2.7147516153196102E-2</v>
      </c>
      <c r="BJ59" s="606">
        <v>2.4824513575679602E-4</v>
      </c>
      <c r="BK59" s="606">
        <v>1.39181516193058E-6</v>
      </c>
      <c r="BL59" s="606">
        <v>1.8733822114136601E-6</v>
      </c>
      <c r="BM59" s="606">
        <v>2.5151033313013999E-4</v>
      </c>
      <c r="BN59" s="608">
        <v>2.6827232322568499</v>
      </c>
      <c r="BO59" s="602"/>
    </row>
    <row r="60" spans="1:67">
      <c r="A60" s="607" t="s">
        <v>76</v>
      </c>
      <c r="B60" s="606">
        <v>2045</v>
      </c>
      <c r="C60" s="606" t="s">
        <v>135</v>
      </c>
      <c r="D60" s="606" t="s">
        <v>586</v>
      </c>
      <c r="E60" s="606" t="s">
        <v>586</v>
      </c>
      <c r="F60" s="606" t="s">
        <v>569</v>
      </c>
      <c r="G60" s="606">
        <v>331.01342191001299</v>
      </c>
      <c r="H60" s="606">
        <v>12389.2282439398</v>
      </c>
      <c r="I60" s="606">
        <v>1324.0536876400499</v>
      </c>
      <c r="J60" s="606">
        <v>1.9013304146512399E-3</v>
      </c>
      <c r="K60" s="606">
        <v>3.3807216615888301E-4</v>
      </c>
      <c r="L60" s="606">
        <v>7.1356683347751596E-4</v>
      </c>
      <c r="M60" s="606">
        <v>2.95296941428764E-3</v>
      </c>
      <c r="N60" s="606">
        <v>2.0319667275748399E-5</v>
      </c>
      <c r="O60" s="606">
        <v>0</v>
      </c>
      <c r="P60" s="606">
        <v>9.8846312225938096E-7</v>
      </c>
      <c r="Q60" s="606">
        <v>2.1308130398007801E-5</v>
      </c>
      <c r="R60" s="606">
        <v>2.7313572853837501E-5</v>
      </c>
      <c r="S60" s="606">
        <v>4.3592461701139704E-3</v>
      </c>
      <c r="T60" s="606">
        <v>4.4078678733658096E-3</v>
      </c>
      <c r="U60" s="606">
        <v>2.2099492146616899E-5</v>
      </c>
      <c r="V60" s="606">
        <v>0</v>
      </c>
      <c r="W60" s="606">
        <v>1.0750438336981499E-6</v>
      </c>
      <c r="X60" s="606">
        <v>2.3174535980315E-5</v>
      </c>
      <c r="Y60" s="606">
        <v>1.0925429141535E-4</v>
      </c>
      <c r="Z60" s="606">
        <v>1.0171574396932601E-2</v>
      </c>
      <c r="AA60" s="606">
        <v>1.0304003224328199E-2</v>
      </c>
      <c r="AB60" s="606">
        <v>9.5666147878139594</v>
      </c>
      <c r="AC60" s="606">
        <v>0.77649185922336506</v>
      </c>
      <c r="AD60" s="606">
        <v>5.7820060872373097E-2</v>
      </c>
      <c r="AE60" s="606">
        <v>10.400926707909701</v>
      </c>
      <c r="AF60" s="606">
        <v>3.6177248561735298E-5</v>
      </c>
      <c r="AG60" s="606">
        <v>8.7930939370647898E-4</v>
      </c>
      <c r="AH60" s="606">
        <v>7.8051055062832903E-5</v>
      </c>
      <c r="AI60" s="606">
        <v>9.9353769733104692E-4</v>
      </c>
      <c r="AJ60" s="606">
        <v>1.7083666043390499E-4</v>
      </c>
      <c r="AK60" s="606">
        <v>3.5426628019571801E-5</v>
      </c>
      <c r="AL60" s="606">
        <v>6.8512635846669002E-5</v>
      </c>
      <c r="AM60" s="606">
        <v>2.7477592430014602E-4</v>
      </c>
      <c r="AN60" s="606">
        <v>1.59763083893152E-4</v>
      </c>
      <c r="AO60" s="606">
        <v>3.88287431620645E-3</v>
      </c>
      <c r="AP60" s="606">
        <v>4.42852585385685E-4</v>
      </c>
      <c r="AQ60" s="606">
        <v>4.4854899854852902E-3</v>
      </c>
      <c r="AR60" s="606">
        <v>1.1032667820435999E-5</v>
      </c>
      <c r="AS60" s="606">
        <v>1.17607367521829E-4</v>
      </c>
      <c r="AT60" s="606">
        <v>8.00208188691683E-4</v>
      </c>
      <c r="AU60" s="606">
        <v>6.4787756428698902E-6</v>
      </c>
      <c r="AV60" s="606">
        <v>5.4208169851621101E-3</v>
      </c>
      <c r="AW60" s="606">
        <v>2.3312591698629101E-4</v>
      </c>
      <c r="AX60" s="606">
        <v>5.6658810874828597E-3</v>
      </c>
      <c r="AY60" s="606">
        <v>4.8486783816631E-4</v>
      </c>
      <c r="AZ60" s="606">
        <v>6.38387484263546E-3</v>
      </c>
      <c r="BA60" s="606">
        <v>1.1032667820435999E-5</v>
      </c>
      <c r="BB60" s="606">
        <v>1.1760736752178099E-4</v>
      </c>
      <c r="BC60" s="606">
        <v>8.0020818869135297E-4</v>
      </c>
      <c r="BD60" s="606">
        <v>6.4787756428698902E-6</v>
      </c>
      <c r="BE60" s="606">
        <v>7.3192018423119103E-3</v>
      </c>
      <c r="BF60" s="606">
        <v>2.8246863089820599E-3</v>
      </c>
      <c r="BG60" s="606">
        <v>3.0008029569965899E-2</v>
      </c>
      <c r="BH60" s="606">
        <v>1.02357148171115E-2</v>
      </c>
      <c r="BI60" s="606">
        <v>4.30684306960595E-2</v>
      </c>
      <c r="BJ60" s="606">
        <v>9.4669408558669194E-5</v>
      </c>
      <c r="BK60" s="606">
        <v>7.6840164147651393E-6</v>
      </c>
      <c r="BL60" s="606">
        <v>5.7217637450881498E-7</v>
      </c>
      <c r="BM60" s="606">
        <v>1.0292560134794299E-4</v>
      </c>
      <c r="BN60" s="608">
        <v>1.0978511240222399</v>
      </c>
      <c r="BO60" s="602"/>
    </row>
    <row r="61" spans="1:67">
      <c r="A61" s="607" t="s">
        <v>76</v>
      </c>
      <c r="B61" s="606">
        <v>2045</v>
      </c>
      <c r="C61" s="606" t="s">
        <v>134</v>
      </c>
      <c r="D61" s="606" t="s">
        <v>586</v>
      </c>
      <c r="E61" s="606" t="s">
        <v>586</v>
      </c>
      <c r="F61" s="606" t="s">
        <v>569</v>
      </c>
      <c r="G61" s="606">
        <v>1903.1106305196399</v>
      </c>
      <c r="H61" s="606">
        <v>79158.685503478904</v>
      </c>
      <c r="I61" s="606">
        <v>38077.437495437</v>
      </c>
      <c r="J61" s="606">
        <v>7.6833101693880102E-3</v>
      </c>
      <c r="K61" s="606">
        <v>1.8787212013421901E-4</v>
      </c>
      <c r="L61" s="606">
        <v>1.8837111526062999E-2</v>
      </c>
      <c r="M61" s="606">
        <v>2.6708293815585201E-2</v>
      </c>
      <c r="N61" s="606">
        <v>1.1322018687181401E-4</v>
      </c>
      <c r="O61" s="606">
        <v>0</v>
      </c>
      <c r="P61" s="606">
        <v>1.68295369241579E-5</v>
      </c>
      <c r="Q61" s="606">
        <v>1.30049723795972E-4</v>
      </c>
      <c r="R61" s="606">
        <v>2.6177254316517301E-4</v>
      </c>
      <c r="S61" s="606">
        <v>4.8742047537355298E-3</v>
      </c>
      <c r="T61" s="606">
        <v>5.2660270206966696E-3</v>
      </c>
      <c r="U61" s="606">
        <v>1.23137283532119E-4</v>
      </c>
      <c r="V61" s="606">
        <v>0</v>
      </c>
      <c r="W61" s="606">
        <v>1.8303656946711902E-5</v>
      </c>
      <c r="X61" s="606">
        <v>1.4144094047883099E-4</v>
      </c>
      <c r="Y61" s="606">
        <v>1.0470901726606901E-3</v>
      </c>
      <c r="Z61" s="606">
        <v>1.1373144425382901E-2</v>
      </c>
      <c r="AA61" s="606">
        <v>1.25616755385224E-2</v>
      </c>
      <c r="AB61" s="606">
        <v>121.009056805871</v>
      </c>
      <c r="AC61" s="606">
        <v>0.90273998355762197</v>
      </c>
      <c r="AD61" s="606">
        <v>1.23429529655054</v>
      </c>
      <c r="AE61" s="606">
        <v>123.14609208597901</v>
      </c>
      <c r="AF61" s="606">
        <v>2.5338034753213099E-4</v>
      </c>
      <c r="AG61" s="606">
        <v>5.7398163832531296E-4</v>
      </c>
      <c r="AH61" s="606">
        <v>1.3004609868736E-3</v>
      </c>
      <c r="AI61" s="606">
        <v>2.1278229727310399E-3</v>
      </c>
      <c r="AJ61" s="606">
        <v>7.0985277771269304E-4</v>
      </c>
      <c r="AK61" s="606">
        <v>1.7124159811045101E-5</v>
      </c>
      <c r="AL61" s="606">
        <v>1.54065495135182E-3</v>
      </c>
      <c r="AM61" s="606">
        <v>2.2676318888755599E-3</v>
      </c>
      <c r="AN61" s="606">
        <v>9.3387795483121404E-4</v>
      </c>
      <c r="AO61" s="606">
        <v>2.1577754782024202E-3</v>
      </c>
      <c r="AP61" s="606">
        <v>6.3040420063783E-3</v>
      </c>
      <c r="AQ61" s="606">
        <v>9.3956954394119399E-3</v>
      </c>
      <c r="AR61" s="606">
        <v>3.7538487137802297E-5</v>
      </c>
      <c r="AS61" s="606">
        <v>1.9646964563041001E-3</v>
      </c>
      <c r="AT61" s="606">
        <v>1.01031412393741E-2</v>
      </c>
      <c r="AU61" s="606">
        <v>2.9325206290236901E-5</v>
      </c>
      <c r="AV61" s="606">
        <v>2.1530396828518199E-2</v>
      </c>
      <c r="AW61" s="606">
        <v>1.36271251948862E-3</v>
      </c>
      <c r="AX61" s="606">
        <v>3.1486209125939002E-3</v>
      </c>
      <c r="AY61" s="606">
        <v>6.9021324933221497E-3</v>
      </c>
      <c r="AZ61" s="606">
        <v>1.14134659254046E-2</v>
      </c>
      <c r="BA61" s="606">
        <v>3.7538487137802297E-5</v>
      </c>
      <c r="BB61" s="606">
        <v>1.96469645630329E-3</v>
      </c>
      <c r="BC61" s="606">
        <v>1.01031412393699E-2</v>
      </c>
      <c r="BD61" s="606">
        <v>2.9325206290236901E-5</v>
      </c>
      <c r="BE61" s="606">
        <v>2.3548167314505999E-2</v>
      </c>
      <c r="BF61" s="606">
        <v>1.6223102306846902E-2</v>
      </c>
      <c r="BG61" s="606">
        <v>3.20986044144684E-2</v>
      </c>
      <c r="BH61" s="606">
        <v>0.12148368980761499</v>
      </c>
      <c r="BI61" s="606">
        <v>0.16980539652893101</v>
      </c>
      <c r="BJ61" s="606">
        <v>1.19748271380664E-3</v>
      </c>
      <c r="BK61" s="606">
        <v>8.9333439488464606E-6</v>
      </c>
      <c r="BL61" s="606">
        <v>1.2214352548200299E-5</v>
      </c>
      <c r="BM61" s="606">
        <v>1.21863041030369E-3</v>
      </c>
      <c r="BN61" s="608">
        <v>12.9984644072845</v>
      </c>
      <c r="BO61" s="602"/>
    </row>
    <row r="62" spans="1:67">
      <c r="A62" s="607" t="s">
        <v>76</v>
      </c>
      <c r="B62" s="606">
        <v>2045</v>
      </c>
      <c r="C62" s="606" t="s">
        <v>133</v>
      </c>
      <c r="D62" s="606" t="s">
        <v>586</v>
      </c>
      <c r="E62" s="606" t="s">
        <v>586</v>
      </c>
      <c r="F62" s="606" t="s">
        <v>569</v>
      </c>
      <c r="G62" s="606">
        <v>7.49664085038801</v>
      </c>
      <c r="H62" s="606">
        <v>737.687196207233</v>
      </c>
      <c r="I62" s="606">
        <v>149.99279013456299</v>
      </c>
      <c r="J62" s="606">
        <v>2.5567474599889899E-3</v>
      </c>
      <c r="K62" s="606">
        <v>0</v>
      </c>
      <c r="L62" s="606">
        <v>2.0415152796300699E-4</v>
      </c>
      <c r="M62" s="606">
        <v>2.7608989879520001E-3</v>
      </c>
      <c r="N62" s="606">
        <v>8.8095269767863999E-7</v>
      </c>
      <c r="O62" s="606">
        <v>0</v>
      </c>
      <c r="P62" s="606">
        <v>6.6467550173814594E-8</v>
      </c>
      <c r="Q62" s="606">
        <v>9.4742024785245395E-7</v>
      </c>
      <c r="R62" s="606">
        <v>4.0658047015166597E-6</v>
      </c>
      <c r="S62" s="606">
        <v>2.15162384804261E-5</v>
      </c>
      <c r="T62" s="606">
        <v>2.65294634297952E-5</v>
      </c>
      <c r="U62" s="606">
        <v>9.5811643762129401E-7</v>
      </c>
      <c r="V62" s="606">
        <v>0</v>
      </c>
      <c r="W62" s="606">
        <v>7.2289525371521096E-8</v>
      </c>
      <c r="X62" s="606">
        <v>1.03040596299281E-6</v>
      </c>
      <c r="Y62" s="606">
        <v>1.6263218806066602E-5</v>
      </c>
      <c r="Z62" s="606">
        <v>5.02045564543277E-5</v>
      </c>
      <c r="AA62" s="606">
        <v>6.7498181223387096E-5</v>
      </c>
      <c r="AB62" s="606">
        <v>1.2367112880397499</v>
      </c>
      <c r="AC62" s="606">
        <v>0</v>
      </c>
      <c r="AD62" s="606">
        <v>5.7918921642492504E-3</v>
      </c>
      <c r="AE62" s="606">
        <v>1.2425031802040001</v>
      </c>
      <c r="AF62" s="606">
        <v>5.7779988397447503E-5</v>
      </c>
      <c r="AG62" s="606">
        <v>0</v>
      </c>
      <c r="AH62" s="606">
        <v>3.6226796871867998E-8</v>
      </c>
      <c r="AI62" s="606">
        <v>5.7816215194319399E-5</v>
      </c>
      <c r="AJ62" s="606">
        <v>1.05682597950722E-4</v>
      </c>
      <c r="AK62" s="606">
        <v>0</v>
      </c>
      <c r="AL62" s="606">
        <v>9.2171847884073304E-6</v>
      </c>
      <c r="AM62" s="606">
        <v>1.14899782739129E-4</v>
      </c>
      <c r="AN62" s="606">
        <v>2.5550380106709099E-4</v>
      </c>
      <c r="AO62" s="606">
        <v>0</v>
      </c>
      <c r="AP62" s="606">
        <v>1.8617387860970701E-7</v>
      </c>
      <c r="AQ62" s="606">
        <v>2.5568997494570102E-4</v>
      </c>
      <c r="AR62" s="606">
        <v>1.56154280515059E-7</v>
      </c>
      <c r="AS62" s="606">
        <v>8.1930495813551697E-6</v>
      </c>
      <c r="AT62" s="606">
        <v>4.2263672270174098E-5</v>
      </c>
      <c r="AU62" s="606">
        <v>1.22461516169515E-7</v>
      </c>
      <c r="AV62" s="606">
        <v>3.0642531259391498E-4</v>
      </c>
      <c r="AW62" s="606">
        <v>3.72830546743107E-4</v>
      </c>
      <c r="AX62" s="606">
        <v>0</v>
      </c>
      <c r="AY62" s="606">
        <v>2.0383696296118299E-7</v>
      </c>
      <c r="AZ62" s="606">
        <v>3.7303438370606801E-4</v>
      </c>
      <c r="BA62" s="606">
        <v>1.56154280515059E-7</v>
      </c>
      <c r="BB62" s="606">
        <v>8.1930495813518002E-6</v>
      </c>
      <c r="BC62" s="606">
        <v>4.2263672270156798E-5</v>
      </c>
      <c r="BD62" s="606">
        <v>1.22461516169515E-7</v>
      </c>
      <c r="BE62" s="606">
        <v>4.2376972135426099E-4</v>
      </c>
      <c r="BF62" s="606">
        <v>2.41554610754799E-2</v>
      </c>
      <c r="BG62" s="606">
        <v>0</v>
      </c>
      <c r="BH62" s="606">
        <v>7.8007570461157295E-4</v>
      </c>
      <c r="BI62" s="606">
        <v>2.49355367800915E-2</v>
      </c>
      <c r="BJ62" s="606">
        <v>1.2238260742523999E-5</v>
      </c>
      <c r="BK62" s="606">
        <v>0</v>
      </c>
      <c r="BL62" s="606">
        <v>5.7315468197121902E-8</v>
      </c>
      <c r="BM62" s="606">
        <v>1.22955762107211E-5</v>
      </c>
      <c r="BN62" s="608">
        <v>0.13115018991055999</v>
      </c>
      <c r="BO62" s="602"/>
    </row>
    <row r="63" spans="1:67">
      <c r="A63" s="607" t="s">
        <v>76</v>
      </c>
      <c r="B63" s="606">
        <v>2045</v>
      </c>
      <c r="C63" s="606" t="s">
        <v>132</v>
      </c>
      <c r="D63" s="606" t="s">
        <v>586</v>
      </c>
      <c r="E63" s="606" t="s">
        <v>586</v>
      </c>
      <c r="F63" s="606" t="s">
        <v>569</v>
      </c>
      <c r="G63" s="606">
        <v>38.484320381778403</v>
      </c>
      <c r="H63" s="606">
        <v>932.341101401316</v>
      </c>
      <c r="I63" s="606">
        <v>153.93728152711299</v>
      </c>
      <c r="J63" s="606">
        <v>1.7293597074625601E-4</v>
      </c>
      <c r="K63" s="606">
        <v>0</v>
      </c>
      <c r="L63" s="606">
        <v>1.13352535379122E-4</v>
      </c>
      <c r="M63" s="606">
        <v>2.8628850612537798E-4</v>
      </c>
      <c r="N63" s="606">
        <v>2.2395607237520399E-6</v>
      </c>
      <c r="O63" s="606">
        <v>0</v>
      </c>
      <c r="P63" s="606">
        <v>1.4222081878777499E-7</v>
      </c>
      <c r="Q63" s="606">
        <v>2.38178154253982E-6</v>
      </c>
      <c r="R63" s="606">
        <v>2.8464518594791002E-6</v>
      </c>
      <c r="S63" s="606">
        <v>5.3232938381718901E-5</v>
      </c>
      <c r="T63" s="606">
        <v>5.8461171783737898E-5</v>
      </c>
      <c r="U63" s="606">
        <v>2.4357266265624401E-6</v>
      </c>
      <c r="V63" s="606">
        <v>0</v>
      </c>
      <c r="W63" s="606">
        <v>1.5467811678378399E-7</v>
      </c>
      <c r="X63" s="606">
        <v>2.59040474334623E-6</v>
      </c>
      <c r="Y63" s="606">
        <v>1.1385807437916401E-5</v>
      </c>
      <c r="Z63" s="606">
        <v>1.24210189557344E-4</v>
      </c>
      <c r="AA63" s="606">
        <v>1.38186401738606E-4</v>
      </c>
      <c r="AB63" s="606">
        <v>1.58845561315842</v>
      </c>
      <c r="AC63" s="606">
        <v>0</v>
      </c>
      <c r="AD63" s="606">
        <v>1.2586652671100301E-2</v>
      </c>
      <c r="AE63" s="606">
        <v>1.60104226582952</v>
      </c>
      <c r="AF63" s="606">
        <v>5.3500914509658199E-6</v>
      </c>
      <c r="AG63" s="606">
        <v>0</v>
      </c>
      <c r="AH63" s="606">
        <v>1.38193631260034E-5</v>
      </c>
      <c r="AI63" s="606">
        <v>1.9169454576969198E-5</v>
      </c>
      <c r="AJ63" s="606">
        <v>1.5232768641182199E-5</v>
      </c>
      <c r="AK63" s="606">
        <v>0</v>
      </c>
      <c r="AL63" s="606">
        <v>9.8367152510315204E-6</v>
      </c>
      <c r="AM63" s="606">
        <v>2.5069483892213801E-5</v>
      </c>
      <c r="AN63" s="606">
        <v>1.9151699141698701E-5</v>
      </c>
      <c r="AO63" s="606">
        <v>0</v>
      </c>
      <c r="AP63" s="606">
        <v>6.5664574801127296E-5</v>
      </c>
      <c r="AQ63" s="606">
        <v>8.4816273942826006E-5</v>
      </c>
      <c r="AR63" s="606">
        <v>2.73195388141869E-7</v>
      </c>
      <c r="AS63" s="606">
        <v>3.50917564655864E-6</v>
      </c>
      <c r="AT63" s="606">
        <v>1.9538240870693699E-5</v>
      </c>
      <c r="AU63" s="606">
        <v>1.7867422008630599E-7</v>
      </c>
      <c r="AV63" s="606">
        <v>1.08315560068306E-4</v>
      </c>
      <c r="AW63" s="606">
        <v>2.7946114430540499E-5</v>
      </c>
      <c r="AX63" s="606">
        <v>0</v>
      </c>
      <c r="AY63" s="606">
        <v>7.1894444062472801E-5</v>
      </c>
      <c r="AZ63" s="606">
        <v>9.9840558493013304E-5</v>
      </c>
      <c r="BA63" s="606">
        <v>2.73195388141869E-7</v>
      </c>
      <c r="BB63" s="606">
        <v>3.5091756465572E-6</v>
      </c>
      <c r="BC63" s="606">
        <v>1.9538240870685598E-5</v>
      </c>
      <c r="BD63" s="606">
        <v>1.7867422008630599E-7</v>
      </c>
      <c r="BE63" s="606">
        <v>1.2333984461848399E-4</v>
      </c>
      <c r="BF63" s="606">
        <v>2.7301114625273001E-4</v>
      </c>
      <c r="BG63" s="606">
        <v>0</v>
      </c>
      <c r="BH63" s="606">
        <v>1.39844799654685E-3</v>
      </c>
      <c r="BI63" s="606">
        <v>1.67145914279958E-3</v>
      </c>
      <c r="BJ63" s="606">
        <v>1.5719055983205101E-5</v>
      </c>
      <c r="BK63" s="606">
        <v>0</v>
      </c>
      <c r="BL63" s="606">
        <v>1.24555131625483E-7</v>
      </c>
      <c r="BM63" s="606">
        <v>1.5843611114830598E-5</v>
      </c>
      <c r="BN63" s="608">
        <v>0.16899513865542001</v>
      </c>
      <c r="BO63" s="602"/>
    </row>
    <row r="64" spans="1:67">
      <c r="A64" s="607" t="s">
        <v>76</v>
      </c>
      <c r="B64" s="606">
        <v>2045</v>
      </c>
      <c r="C64" s="606" t="s">
        <v>150</v>
      </c>
      <c r="D64" s="606" t="s">
        <v>586</v>
      </c>
      <c r="E64" s="606" t="s">
        <v>586</v>
      </c>
      <c r="F64" s="606" t="s">
        <v>11</v>
      </c>
      <c r="G64" s="606">
        <v>233.42694020514799</v>
      </c>
      <c r="H64" s="606">
        <v>9517.6052976192095</v>
      </c>
      <c r="I64" s="606">
        <v>910.36506680008097</v>
      </c>
      <c r="J64" s="606">
        <v>3.90441287918942E-3</v>
      </c>
      <c r="K64" s="606">
        <v>4.6365772701633E-3</v>
      </c>
      <c r="L64" s="606">
        <v>0</v>
      </c>
      <c r="M64" s="606">
        <v>8.5409901493527299E-3</v>
      </c>
      <c r="N64" s="606">
        <v>2.8745419435759799E-5</v>
      </c>
      <c r="O64" s="606">
        <v>1.8118017543192399E-6</v>
      </c>
      <c r="P64" s="606">
        <v>0</v>
      </c>
      <c r="Q64" s="606">
        <v>3.0557221190079103E-5</v>
      </c>
      <c r="R64" s="606">
        <v>9.4422275752315796E-5</v>
      </c>
      <c r="S64" s="606">
        <v>2.7760149071180798E-4</v>
      </c>
      <c r="T64" s="606">
        <v>4.0258098765420298E-4</v>
      </c>
      <c r="U64" s="606">
        <v>3.0045159746735301E-5</v>
      </c>
      <c r="V64" s="606">
        <v>1.8937233898983401E-6</v>
      </c>
      <c r="W64" s="606">
        <v>0</v>
      </c>
      <c r="X64" s="606">
        <v>3.1938883136633598E-5</v>
      </c>
      <c r="Y64" s="606">
        <v>3.7768910300926302E-4</v>
      </c>
      <c r="Z64" s="606">
        <v>6.4773681166088596E-4</v>
      </c>
      <c r="AA64" s="606">
        <v>1.0573647978067799E-3</v>
      </c>
      <c r="AB64" s="606">
        <v>25.526413333952501</v>
      </c>
      <c r="AC64" s="606">
        <v>0.78822487752345405</v>
      </c>
      <c r="AD64" s="606">
        <v>0</v>
      </c>
      <c r="AE64" s="606">
        <v>26.314638211476002</v>
      </c>
      <c r="AF64" s="606">
        <v>3.2112574601926999E-2</v>
      </c>
      <c r="AG64" s="606">
        <v>2.9878306563906802E-4</v>
      </c>
      <c r="AH64" s="606">
        <v>0</v>
      </c>
      <c r="AI64" s="606">
        <v>3.2411357667566101E-2</v>
      </c>
      <c r="AJ64" s="606">
        <v>5.2037263454965104E-3</v>
      </c>
      <c r="AK64" s="606">
        <v>1.6068479765188499E-4</v>
      </c>
      <c r="AL64" s="606">
        <v>0</v>
      </c>
      <c r="AM64" s="606">
        <v>5.3644111431483902E-3</v>
      </c>
      <c r="AN64" s="606">
        <v>5.0927644779551803E-4</v>
      </c>
      <c r="AO64" s="606">
        <v>4.55502464798294E-6</v>
      </c>
      <c r="AP64" s="606">
        <v>0</v>
      </c>
      <c r="AQ64" s="606">
        <v>5.1383147244350095E-4</v>
      </c>
      <c r="AR64" s="606">
        <v>0</v>
      </c>
      <c r="AS64" s="606">
        <v>0</v>
      </c>
      <c r="AT64" s="606">
        <v>0</v>
      </c>
      <c r="AU64" s="606">
        <v>0</v>
      </c>
      <c r="AV64" s="606">
        <v>5.1383147244350095E-4</v>
      </c>
      <c r="AW64" s="606">
        <v>3.2830720785773503E-2</v>
      </c>
      <c r="AX64" s="606">
        <v>3.0525590109140201E-4</v>
      </c>
      <c r="AY64" s="606">
        <v>0</v>
      </c>
      <c r="AZ64" s="606">
        <v>3.3135976686864903E-2</v>
      </c>
      <c r="BA64" s="606">
        <v>0</v>
      </c>
      <c r="BB64" s="606">
        <v>0</v>
      </c>
      <c r="BC64" s="606">
        <v>0</v>
      </c>
      <c r="BD64" s="606">
        <v>0</v>
      </c>
      <c r="BE64" s="606">
        <v>3.3135976686864903E-2</v>
      </c>
      <c r="BF64" s="606">
        <v>0.117469605414703</v>
      </c>
      <c r="BG64" s="606">
        <v>5.6320060440062198E-3</v>
      </c>
      <c r="BH64" s="606">
        <v>0</v>
      </c>
      <c r="BI64" s="606">
        <v>0.123101611458709</v>
      </c>
      <c r="BJ64" s="606">
        <v>0</v>
      </c>
      <c r="BK64" s="606">
        <v>0</v>
      </c>
      <c r="BL64" s="606">
        <v>0</v>
      </c>
      <c r="BM64" s="606">
        <v>0</v>
      </c>
      <c r="BN64" s="608">
        <v>3.0415708268106698</v>
      </c>
      <c r="BO64" s="602"/>
    </row>
    <row r="65" spans="1:69" ht="14.5" thickBot="1">
      <c r="A65" s="609" t="s">
        <v>76</v>
      </c>
      <c r="B65" s="610">
        <v>2045</v>
      </c>
      <c r="C65" s="610" t="s">
        <v>132</v>
      </c>
      <c r="D65" s="610" t="s">
        <v>586</v>
      </c>
      <c r="E65" s="610" t="s">
        <v>586</v>
      </c>
      <c r="F65" s="610" t="s">
        <v>11</v>
      </c>
      <c r="G65" s="610">
        <v>99.9240427487467</v>
      </c>
      <c r="H65" s="610">
        <v>7832.70222454949</v>
      </c>
      <c r="I65" s="610">
        <v>399.69617099498703</v>
      </c>
      <c r="J65" s="610">
        <v>4.0733328484452002E-3</v>
      </c>
      <c r="K65" s="610">
        <v>0</v>
      </c>
      <c r="L65" s="610">
        <v>0</v>
      </c>
      <c r="M65" s="610">
        <v>4.0733328484452002E-3</v>
      </c>
      <c r="N65" s="610">
        <v>2.65788278480823E-5</v>
      </c>
      <c r="O65" s="610">
        <v>0</v>
      </c>
      <c r="P65" s="610">
        <v>0</v>
      </c>
      <c r="Q65" s="610">
        <v>2.65788278480823E-5</v>
      </c>
      <c r="R65" s="610">
        <v>6.8840371100454902E-5</v>
      </c>
      <c r="S65" s="610">
        <v>2.7190279665883799E-4</v>
      </c>
      <c r="T65" s="610">
        <v>3.6732199560737501E-4</v>
      </c>
      <c r="U65" s="610">
        <v>2.7780604501570801E-5</v>
      </c>
      <c r="V65" s="610">
        <v>0</v>
      </c>
      <c r="W65" s="610">
        <v>0</v>
      </c>
      <c r="X65" s="610">
        <v>2.7780604501570801E-5</v>
      </c>
      <c r="Y65" s="610">
        <v>2.7536148440181901E-4</v>
      </c>
      <c r="Z65" s="610">
        <v>6.3443985887062196E-4</v>
      </c>
      <c r="AA65" s="610">
        <v>9.3758194777401297E-4</v>
      </c>
      <c r="AB65" s="610">
        <v>16.878724487342499</v>
      </c>
      <c r="AC65" s="610">
        <v>0</v>
      </c>
      <c r="AD65" s="610">
        <v>0</v>
      </c>
      <c r="AE65" s="610">
        <v>16.878724487342499</v>
      </c>
      <c r="AF65" s="610">
        <v>5.2822486090953497E-2</v>
      </c>
      <c r="AG65" s="610">
        <v>0</v>
      </c>
      <c r="AH65" s="610">
        <v>0</v>
      </c>
      <c r="AI65" s="610">
        <v>5.2822486090953497E-2</v>
      </c>
      <c r="AJ65" s="610">
        <v>3.4408384031114898E-3</v>
      </c>
      <c r="AK65" s="610">
        <v>0</v>
      </c>
      <c r="AL65" s="610">
        <v>0</v>
      </c>
      <c r="AM65" s="610">
        <v>3.4408384031114898E-3</v>
      </c>
      <c r="AN65" s="610">
        <v>7.5472910032246495E-4</v>
      </c>
      <c r="AO65" s="610">
        <v>0</v>
      </c>
      <c r="AP65" s="610">
        <v>0</v>
      </c>
      <c r="AQ65" s="610">
        <v>7.5472910032246495E-4</v>
      </c>
      <c r="AR65" s="610">
        <v>0</v>
      </c>
      <c r="AS65" s="610">
        <v>0</v>
      </c>
      <c r="AT65" s="610">
        <v>0</v>
      </c>
      <c r="AU65" s="610">
        <v>0</v>
      </c>
      <c r="AV65" s="610">
        <v>7.5472910032246495E-4</v>
      </c>
      <c r="AW65" s="610">
        <v>5.3909221451604698E-2</v>
      </c>
      <c r="AX65" s="610">
        <v>0</v>
      </c>
      <c r="AY65" s="610">
        <v>0</v>
      </c>
      <c r="AZ65" s="610">
        <v>5.3909221451604698E-2</v>
      </c>
      <c r="BA65" s="610">
        <v>0</v>
      </c>
      <c r="BB65" s="610">
        <v>0</v>
      </c>
      <c r="BC65" s="610">
        <v>0</v>
      </c>
      <c r="BD65" s="610">
        <v>0</v>
      </c>
      <c r="BE65" s="610">
        <v>5.3909221451604698E-2</v>
      </c>
      <c r="BF65" s="610">
        <v>0.40814319160706902</v>
      </c>
      <c r="BG65" s="610">
        <v>0</v>
      </c>
      <c r="BH65" s="610">
        <v>0</v>
      </c>
      <c r="BI65" s="610">
        <v>0.40814319160706902</v>
      </c>
      <c r="BJ65" s="610">
        <v>0</v>
      </c>
      <c r="BK65" s="610">
        <v>0</v>
      </c>
      <c r="BL65" s="610">
        <v>0</v>
      </c>
      <c r="BM65" s="610">
        <v>0</v>
      </c>
      <c r="BN65" s="611">
        <v>1.9509231167041901</v>
      </c>
      <c r="BO65" s="602"/>
    </row>
    <row r="66" spans="1:69" ht="14.5" thickBot="1">
      <c r="A66" s="604"/>
      <c r="B66" s="604"/>
      <c r="C66" s="604"/>
      <c r="D66" s="604"/>
      <c r="E66" s="604"/>
      <c r="F66" s="613"/>
      <c r="G66" s="613"/>
      <c r="H66" s="613"/>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613"/>
      <c r="AI66" s="613"/>
      <c r="AJ66" s="613"/>
      <c r="AK66" s="613"/>
      <c r="AL66" s="613"/>
      <c r="AM66" s="613"/>
      <c r="AN66" s="613"/>
      <c r="AO66" s="613"/>
      <c r="AP66" s="613"/>
      <c r="AQ66" s="613"/>
      <c r="AR66" s="613"/>
      <c r="AS66" s="613"/>
      <c r="AT66" s="613"/>
      <c r="AU66" s="613"/>
      <c r="AV66" s="613"/>
      <c r="AW66" s="613"/>
      <c r="AX66" s="613"/>
      <c r="AY66" s="613"/>
      <c r="AZ66" s="613"/>
      <c r="BA66" s="613"/>
      <c r="BB66" s="613"/>
      <c r="BC66" s="613"/>
      <c r="BD66" s="613"/>
      <c r="BE66" s="613"/>
      <c r="BF66" s="613"/>
      <c r="BG66" s="613"/>
      <c r="BH66" s="613"/>
      <c r="BI66" s="613"/>
      <c r="BJ66" s="613"/>
      <c r="BK66" s="613"/>
      <c r="BL66" s="613"/>
      <c r="BM66" s="613"/>
      <c r="BN66" s="613"/>
      <c r="BO66" s="603"/>
      <c r="BP66" s="603"/>
    </row>
    <row r="67" spans="1:69" ht="15.75" customHeight="1">
      <c r="E67" s="612"/>
      <c r="F67" s="1310" t="s">
        <v>282</v>
      </c>
      <c r="G67" s="1311"/>
      <c r="H67" s="1311"/>
      <c r="I67" s="1311"/>
      <c r="J67" s="1311"/>
      <c r="K67" s="1311"/>
      <c r="L67" s="1311"/>
      <c r="M67" s="1311"/>
      <c r="N67" s="1311"/>
      <c r="O67" s="1311"/>
      <c r="P67" s="1311"/>
      <c r="Q67" s="1311"/>
      <c r="R67" s="1311"/>
      <c r="S67" s="1311"/>
      <c r="T67" s="1311"/>
      <c r="U67" s="1311"/>
      <c r="V67" s="1311"/>
      <c r="W67" s="1311"/>
      <c r="X67" s="1311"/>
      <c r="Y67" s="1311"/>
      <c r="Z67" s="1311"/>
      <c r="AA67" s="1311"/>
      <c r="AB67" s="1311"/>
      <c r="AC67" s="1311"/>
      <c r="AD67" s="1311"/>
      <c r="AE67" s="1311"/>
      <c r="AF67" s="1311"/>
      <c r="AG67" s="1311"/>
      <c r="AH67" s="1311"/>
      <c r="AI67" s="1311"/>
      <c r="AJ67" s="1311"/>
      <c r="AK67" s="1311"/>
      <c r="AL67" s="1311"/>
      <c r="AM67" s="1311"/>
      <c r="AN67" s="1311"/>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2"/>
      <c r="BQ67" s="602"/>
    </row>
    <row r="68" spans="1:69">
      <c r="E68" s="612"/>
      <c r="F68" s="621" t="s">
        <v>129</v>
      </c>
      <c r="G68" s="523"/>
      <c r="H68" s="627" t="s">
        <v>128</v>
      </c>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627"/>
      <c r="BC68" s="627"/>
      <c r="BD68" s="627"/>
      <c r="BE68" s="627"/>
      <c r="BF68" s="627"/>
      <c r="BG68" s="627"/>
      <c r="BH68" s="627"/>
      <c r="BI68" s="627" t="s">
        <v>127</v>
      </c>
      <c r="BJ68" s="627" t="s">
        <v>126</v>
      </c>
      <c r="BK68" s="627" t="s">
        <v>235</v>
      </c>
      <c r="BL68" s="606"/>
      <c r="BM68" s="606"/>
      <c r="BN68" s="627" t="s">
        <v>127</v>
      </c>
      <c r="BO68" s="628" t="s">
        <v>126</v>
      </c>
      <c r="BP68" s="631" t="s">
        <v>235</v>
      </c>
      <c r="BQ68" s="602"/>
    </row>
    <row r="69" spans="1:69">
      <c r="E69" s="612"/>
      <c r="F69" s="621" t="s">
        <v>125</v>
      </c>
      <c r="G69" s="523"/>
      <c r="H69" s="622">
        <f>SUM(H10:H46)</f>
        <v>1505550.4516034352</v>
      </c>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526"/>
      <c r="BG69" s="526"/>
      <c r="BH69" s="526"/>
      <c r="BI69" s="526">
        <f>SUM(BF15:BF51)*1000</f>
        <v>3341.8096376104704</v>
      </c>
      <c r="BJ69" s="623">
        <f>H69/BI69</f>
        <v>450.5195133376792</v>
      </c>
      <c r="BK69" s="629">
        <f>H69/SUM(H69:H70)</f>
        <v>7.1783342191586691E-2</v>
      </c>
      <c r="BL69" s="606"/>
      <c r="BM69" s="606"/>
      <c r="BN69" s="526">
        <f>SUM(BN10:BN46)*1000</f>
        <v>93176.06156441271</v>
      </c>
      <c r="BO69" s="625">
        <f>H69/BN69</f>
        <v>16.158125019725659</v>
      </c>
      <c r="BP69" s="624">
        <f>H69/$H$72</f>
        <v>7.1783342191586691E-2</v>
      </c>
      <c r="BQ69" s="602"/>
    </row>
    <row r="70" spans="1:69">
      <c r="E70" s="612"/>
      <c r="F70" s="621" t="s">
        <v>124</v>
      </c>
      <c r="G70" s="523"/>
      <c r="H70" s="526">
        <f>SUM(H47:H65)</f>
        <v>19467984.711821876</v>
      </c>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526"/>
      <c r="AU70" s="526"/>
      <c r="AV70" s="526"/>
      <c r="AW70" s="526"/>
      <c r="AX70" s="526"/>
      <c r="AY70" s="526"/>
      <c r="AZ70" s="526"/>
      <c r="BA70" s="526"/>
      <c r="BB70" s="526"/>
      <c r="BC70" s="526"/>
      <c r="BD70" s="526"/>
      <c r="BE70" s="526"/>
      <c r="BF70" s="526"/>
      <c r="BG70" s="526"/>
      <c r="BH70" s="526"/>
      <c r="BI70" s="526">
        <f>SUM(BF52:BF65)*1000</f>
        <v>8573.9389879163355</v>
      </c>
      <c r="BJ70" s="623">
        <f>H70/BI70</f>
        <v>2270.5998653896468</v>
      </c>
      <c r="BK70" s="629">
        <f>H70/SUM(H69:H70)</f>
        <v>0.92821665780841334</v>
      </c>
      <c r="BL70" s="606"/>
      <c r="BM70" s="606"/>
      <c r="BN70" s="526">
        <f>SUM(BN47:BN65)*1000</f>
        <v>529007.02762609988</v>
      </c>
      <c r="BO70" s="625">
        <f>H70/BN70</f>
        <v>36.800994495637916</v>
      </c>
      <c r="BP70" s="624">
        <f t="shared" ref="BP70:BP71" si="0">H70/$H$72</f>
        <v>0.92821665780841334</v>
      </c>
      <c r="BQ70" s="602"/>
    </row>
    <row r="71" spans="1:69" ht="14.5" thickBot="1">
      <c r="E71" s="612"/>
      <c r="F71" s="621" t="s">
        <v>234</v>
      </c>
      <c r="G71" s="523"/>
      <c r="H71" s="526">
        <f>SUM(H47:H50)</f>
        <v>964398.86087806872</v>
      </c>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526"/>
      <c r="AU71" s="526"/>
      <c r="AV71" s="526"/>
      <c r="AW71" s="526"/>
      <c r="AX71" s="526"/>
      <c r="AY71" s="526"/>
      <c r="AZ71" s="526"/>
      <c r="BA71" s="526"/>
      <c r="BB71" s="526"/>
      <c r="BC71" s="526"/>
      <c r="BD71" s="526"/>
      <c r="BE71" s="526"/>
      <c r="BF71" s="526"/>
      <c r="BG71" s="526"/>
      <c r="BH71" s="526"/>
      <c r="BI71" s="526" t="s">
        <v>27</v>
      </c>
      <c r="BJ71" s="623" t="s">
        <v>27</v>
      </c>
      <c r="BK71" s="629">
        <f>H71/SUM(H69:H70)</f>
        <v>4.5981702815643365E-2</v>
      </c>
      <c r="BL71" s="606"/>
      <c r="BM71" s="606"/>
      <c r="BN71" s="626" t="s">
        <v>27</v>
      </c>
      <c r="BO71" s="634" t="s">
        <v>27</v>
      </c>
      <c r="BP71" s="624">
        <f t="shared" si="0"/>
        <v>4.5981702815643365E-2</v>
      </c>
      <c r="BQ71" s="602"/>
    </row>
    <row r="72" spans="1:69" ht="14.5" thickBot="1">
      <c r="E72" s="612"/>
      <c r="F72" s="632" t="s">
        <v>265</v>
      </c>
      <c r="G72" s="525"/>
      <c r="H72" s="527">
        <f>SUM(H69:H70)</f>
        <v>20973535.163425311</v>
      </c>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33"/>
      <c r="BN72" s="614"/>
      <c r="BO72" s="635"/>
      <c r="BP72" s="636"/>
      <c r="BQ72" s="605"/>
    </row>
    <row r="73" spans="1:69" s="604" customFormat="1">
      <c r="BN73" s="601"/>
      <c r="BP73" s="601"/>
    </row>
  </sheetData>
  <autoFilter ref="A9:BN65" xr:uid="{19A0624B-C105-450F-9A55-8E574D095F6F}">
    <sortState xmlns:xlrd2="http://schemas.microsoft.com/office/spreadsheetml/2017/richdata2" ref="A10:BN65">
      <sortCondition ref="F9:F65"/>
    </sortState>
  </autoFilter>
  <mergeCells count="1">
    <mergeCell ref="F67:BP6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72A36-A750-4A65-957D-37F2DFF3EE26}">
  <sheetPr>
    <tabColor theme="0" tint="-0.34998626667073579"/>
  </sheetPr>
  <dimension ref="A1:BQ71"/>
  <sheetViews>
    <sheetView workbookViewId="0">
      <selection activeCell="BV73" sqref="BV73"/>
    </sheetView>
  </sheetViews>
  <sheetFormatPr defaultColWidth="9.08203125" defaultRowHeight="14"/>
  <cols>
    <col min="1" max="3" width="9.08203125" style="601"/>
    <col min="4" max="4" width="0" style="601" hidden="1" customWidth="1"/>
    <col min="5" max="5" width="9.9140625" style="601" hidden="1" customWidth="1"/>
    <col min="6" max="6" width="15.08203125" style="601" customWidth="1"/>
    <col min="7" max="7" width="9.08203125" style="601" customWidth="1"/>
    <col min="8" max="8" width="10.08203125" style="601" customWidth="1"/>
    <col min="9" max="57" width="9.08203125" style="601" hidden="1" customWidth="1"/>
    <col min="58" max="58" width="12.83203125" style="601" hidden="1" customWidth="1"/>
    <col min="59" max="59" width="11.9140625" style="601" hidden="1" customWidth="1"/>
    <col min="60" max="60" width="12.08203125" style="601" hidden="1" customWidth="1"/>
    <col min="61" max="65" width="9.08203125" style="601" hidden="1" customWidth="1"/>
    <col min="66" max="66" width="19.6640625" style="601" customWidth="1"/>
    <col min="67" max="67" width="9.08203125" style="601"/>
    <col min="68" max="68" width="11.9140625" style="601" customWidth="1"/>
    <col min="69" max="16384" width="9.08203125" style="601"/>
  </cols>
  <sheetData>
    <row r="1" spans="1:67">
      <c r="A1" s="601" t="s">
        <v>566</v>
      </c>
    </row>
    <row r="2" spans="1:67">
      <c r="A2" s="601" t="s">
        <v>231</v>
      </c>
    </row>
    <row r="3" spans="1:67">
      <c r="A3" s="601" t="s">
        <v>567</v>
      </c>
    </row>
    <row r="4" spans="1:67">
      <c r="A4" s="601" t="s">
        <v>571</v>
      </c>
    </row>
    <row r="5" spans="1:67">
      <c r="A5" s="601" t="s">
        <v>230</v>
      </c>
    </row>
    <row r="6" spans="1:67">
      <c r="A6" s="601" t="s">
        <v>229</v>
      </c>
    </row>
    <row r="7" spans="1:67">
      <c r="A7" s="601" t="s">
        <v>228</v>
      </c>
    </row>
    <row r="8" spans="1:67" ht="14.5" thickBot="1">
      <c r="A8" s="603"/>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3"/>
      <c r="AM8" s="603"/>
      <c r="AN8" s="603"/>
      <c r="AO8" s="603"/>
      <c r="AP8" s="603"/>
      <c r="AQ8" s="603"/>
      <c r="AR8" s="603"/>
      <c r="AS8" s="603"/>
      <c r="AT8" s="603"/>
      <c r="AU8" s="603"/>
      <c r="AV8" s="603"/>
      <c r="AW8" s="603"/>
      <c r="AX8" s="603"/>
      <c r="AY8" s="603"/>
      <c r="AZ8" s="603"/>
      <c r="BA8" s="603"/>
      <c r="BB8" s="603"/>
      <c r="BC8" s="603"/>
      <c r="BD8" s="603"/>
      <c r="BE8" s="603"/>
      <c r="BF8" s="603"/>
      <c r="BG8" s="603"/>
      <c r="BH8" s="603"/>
      <c r="BI8" s="603"/>
      <c r="BJ8" s="603"/>
      <c r="BK8" s="603"/>
      <c r="BL8" s="603"/>
      <c r="BM8" s="603"/>
      <c r="BN8" s="603"/>
    </row>
    <row r="9" spans="1:67" ht="14.5" thickBot="1">
      <c r="A9" s="618" t="s">
        <v>227</v>
      </c>
      <c r="B9" s="619" t="s">
        <v>256</v>
      </c>
      <c r="C9" s="619" t="s">
        <v>257</v>
      </c>
      <c r="D9" s="619" t="s">
        <v>258</v>
      </c>
      <c r="E9" s="619" t="s">
        <v>226</v>
      </c>
      <c r="F9" s="619" t="s">
        <v>225</v>
      </c>
      <c r="G9" s="619" t="s">
        <v>224</v>
      </c>
      <c r="H9" s="619" t="s">
        <v>128</v>
      </c>
      <c r="I9" s="619" t="s">
        <v>223</v>
      </c>
      <c r="J9" s="619" t="s">
        <v>200</v>
      </c>
      <c r="K9" s="619" t="s">
        <v>199</v>
      </c>
      <c r="L9" s="619" t="s">
        <v>198</v>
      </c>
      <c r="M9" s="619" t="s">
        <v>197</v>
      </c>
      <c r="N9" s="619" t="s">
        <v>573</v>
      </c>
      <c r="O9" s="619" t="s">
        <v>574</v>
      </c>
      <c r="P9" s="619" t="s">
        <v>575</v>
      </c>
      <c r="Q9" s="619" t="s">
        <v>576</v>
      </c>
      <c r="R9" s="619" t="s">
        <v>577</v>
      </c>
      <c r="S9" s="619" t="s">
        <v>578</v>
      </c>
      <c r="T9" s="619" t="s">
        <v>579</v>
      </c>
      <c r="U9" s="619" t="s">
        <v>192</v>
      </c>
      <c r="V9" s="619" t="s">
        <v>191</v>
      </c>
      <c r="W9" s="619" t="s">
        <v>190</v>
      </c>
      <c r="X9" s="619" t="s">
        <v>189</v>
      </c>
      <c r="Y9" s="619" t="s">
        <v>188</v>
      </c>
      <c r="Z9" s="619" t="s">
        <v>187</v>
      </c>
      <c r="AA9" s="619" t="s">
        <v>186</v>
      </c>
      <c r="AB9" s="619" t="s">
        <v>196</v>
      </c>
      <c r="AC9" s="619" t="s">
        <v>195</v>
      </c>
      <c r="AD9" s="619" t="s">
        <v>194</v>
      </c>
      <c r="AE9" s="619" t="s">
        <v>193</v>
      </c>
      <c r="AF9" s="619" t="s">
        <v>486</v>
      </c>
      <c r="AG9" s="619" t="s">
        <v>487</v>
      </c>
      <c r="AH9" s="619" t="s">
        <v>488</v>
      </c>
      <c r="AI9" s="619" t="s">
        <v>489</v>
      </c>
      <c r="AJ9" s="619" t="s">
        <v>259</v>
      </c>
      <c r="AK9" s="619" t="s">
        <v>260</v>
      </c>
      <c r="AL9" s="619" t="s">
        <v>261</v>
      </c>
      <c r="AM9" s="619" t="s">
        <v>262</v>
      </c>
      <c r="AN9" s="619" t="s">
        <v>222</v>
      </c>
      <c r="AO9" s="619" t="s">
        <v>221</v>
      </c>
      <c r="AP9" s="619" t="s">
        <v>220</v>
      </c>
      <c r="AQ9" s="619" t="s">
        <v>219</v>
      </c>
      <c r="AR9" s="619" t="s">
        <v>218</v>
      </c>
      <c r="AS9" s="619" t="s">
        <v>580</v>
      </c>
      <c r="AT9" s="619" t="s">
        <v>581</v>
      </c>
      <c r="AU9" s="619" t="s">
        <v>582</v>
      </c>
      <c r="AV9" s="619" t="s">
        <v>214</v>
      </c>
      <c r="AW9" s="619" t="s">
        <v>213</v>
      </c>
      <c r="AX9" s="619" t="s">
        <v>212</v>
      </c>
      <c r="AY9" s="619" t="s">
        <v>211</v>
      </c>
      <c r="AZ9" s="619" t="s">
        <v>210</v>
      </c>
      <c r="BA9" s="619" t="s">
        <v>209</v>
      </c>
      <c r="BB9" s="619" t="s">
        <v>583</v>
      </c>
      <c r="BC9" s="619" t="s">
        <v>584</v>
      </c>
      <c r="BD9" s="619" t="s">
        <v>585</v>
      </c>
      <c r="BE9" s="619" t="s">
        <v>205</v>
      </c>
      <c r="BF9" s="619" t="s">
        <v>204</v>
      </c>
      <c r="BG9" s="619" t="s">
        <v>203</v>
      </c>
      <c r="BH9" s="619" t="s">
        <v>202</v>
      </c>
      <c r="BI9" s="619" t="s">
        <v>201</v>
      </c>
      <c r="BJ9" s="619" t="s">
        <v>178</v>
      </c>
      <c r="BK9" s="619" t="s">
        <v>177</v>
      </c>
      <c r="BL9" s="619" t="s">
        <v>176</v>
      </c>
      <c r="BM9" s="619" t="s">
        <v>175</v>
      </c>
      <c r="BN9" s="620" t="s">
        <v>263</v>
      </c>
      <c r="BO9" s="602"/>
    </row>
    <row r="10" spans="1:67">
      <c r="A10" s="615" t="s">
        <v>76</v>
      </c>
      <c r="B10" s="616">
        <v>2050</v>
      </c>
      <c r="C10" s="616" t="s">
        <v>174</v>
      </c>
      <c r="D10" s="616" t="s">
        <v>586</v>
      </c>
      <c r="E10" s="616" t="s">
        <v>586</v>
      </c>
      <c r="F10" s="616" t="s">
        <v>125</v>
      </c>
      <c r="G10" s="616">
        <v>682.42689311722904</v>
      </c>
      <c r="H10" s="616">
        <v>34333.695534977</v>
      </c>
      <c r="I10" s="616">
        <v>5732.3859021847202</v>
      </c>
      <c r="J10" s="616">
        <v>7.8439797023212701E-2</v>
      </c>
      <c r="K10" s="616">
        <v>2.1480382811805399E-3</v>
      </c>
      <c r="L10" s="616">
        <v>1.40433105664131E-2</v>
      </c>
      <c r="M10" s="616">
        <v>9.4631145870806399E-2</v>
      </c>
      <c r="N10" s="616">
        <v>2.0120935355085999E-4</v>
      </c>
      <c r="O10" s="616">
        <v>5.12971742524166E-7</v>
      </c>
      <c r="P10" s="616">
        <v>0</v>
      </c>
      <c r="Q10" s="616">
        <v>2.0172232529338399E-4</v>
      </c>
      <c r="R10" s="616">
        <v>1.13539262802118E-4</v>
      </c>
      <c r="S10" s="616">
        <v>2.11410107337543E-3</v>
      </c>
      <c r="T10" s="616">
        <v>2.4293626614709401E-3</v>
      </c>
      <c r="U10" s="616">
        <v>2.10307147665147E-4</v>
      </c>
      <c r="V10" s="616">
        <v>5.3616604844271397E-7</v>
      </c>
      <c r="W10" s="616">
        <v>0</v>
      </c>
      <c r="X10" s="616">
        <v>2.1084331371358999E-4</v>
      </c>
      <c r="Y10" s="616">
        <v>4.5415705120847199E-4</v>
      </c>
      <c r="Z10" s="616">
        <v>4.9329025045426796E-3</v>
      </c>
      <c r="AA10" s="616">
        <v>5.5979028694647399E-3</v>
      </c>
      <c r="AB10" s="616">
        <v>33.630520417871303</v>
      </c>
      <c r="AC10" s="616">
        <v>0.399245262033954</v>
      </c>
      <c r="AD10" s="616">
        <v>0</v>
      </c>
      <c r="AE10" s="616">
        <v>34.029765679905204</v>
      </c>
      <c r="AF10" s="616">
        <v>1.8744758245450201E-5</v>
      </c>
      <c r="AG10" s="616">
        <v>1.7236541385360799E-6</v>
      </c>
      <c r="AH10" s="616">
        <v>0</v>
      </c>
      <c r="AI10" s="616">
        <v>2.04684123839862E-5</v>
      </c>
      <c r="AJ10" s="616">
        <v>5.2862494771178797E-3</v>
      </c>
      <c r="AK10" s="616">
        <v>6.2755795374110695E-5</v>
      </c>
      <c r="AL10" s="616">
        <v>0</v>
      </c>
      <c r="AM10" s="616">
        <v>5.3490052724919903E-3</v>
      </c>
      <c r="AN10" s="616">
        <v>4.0356950480335401E-4</v>
      </c>
      <c r="AO10" s="616">
        <v>3.7109800939156103E-5</v>
      </c>
      <c r="AP10" s="616">
        <v>0</v>
      </c>
      <c r="AQ10" s="616">
        <v>4.4067930574251098E-4</v>
      </c>
      <c r="AR10" s="616">
        <v>0</v>
      </c>
      <c r="AS10" s="616">
        <v>0</v>
      </c>
      <c r="AT10" s="616">
        <v>0</v>
      </c>
      <c r="AU10" s="616">
        <v>0</v>
      </c>
      <c r="AV10" s="616">
        <v>4.4067930574251098E-4</v>
      </c>
      <c r="AW10" s="616">
        <v>4.5943316098783599E-4</v>
      </c>
      <c r="AX10" s="616">
        <v>4.2246683523358602E-5</v>
      </c>
      <c r="AY10" s="616">
        <v>0</v>
      </c>
      <c r="AZ10" s="616">
        <v>5.0167984451119502E-4</v>
      </c>
      <c r="BA10" s="616">
        <v>0</v>
      </c>
      <c r="BB10" s="616">
        <v>0</v>
      </c>
      <c r="BC10" s="616">
        <v>0</v>
      </c>
      <c r="BD10" s="616">
        <v>0</v>
      </c>
      <c r="BE10" s="616">
        <v>5.0167984451119502E-4</v>
      </c>
      <c r="BF10" s="616">
        <v>5.2039746999914599E-3</v>
      </c>
      <c r="BG10" s="616">
        <v>1.57140882464925E-3</v>
      </c>
      <c r="BH10" s="616">
        <v>0</v>
      </c>
      <c r="BI10" s="616">
        <v>6.7753835246407096E-3</v>
      </c>
      <c r="BJ10" s="616">
        <v>3.17724481362908E-4</v>
      </c>
      <c r="BK10" s="616">
        <v>3.7718712716954601E-6</v>
      </c>
      <c r="BL10" s="616">
        <v>0</v>
      </c>
      <c r="BM10" s="616">
        <v>3.21496352634603E-4</v>
      </c>
      <c r="BN10" s="617">
        <v>3.03283584257853</v>
      </c>
      <c r="BO10" s="602"/>
    </row>
    <row r="11" spans="1:67">
      <c r="A11" s="607" t="s">
        <v>76</v>
      </c>
      <c r="B11" s="606">
        <v>2050</v>
      </c>
      <c r="C11" s="606" t="s">
        <v>144</v>
      </c>
      <c r="D11" s="606" t="s">
        <v>586</v>
      </c>
      <c r="E11" s="606" t="s">
        <v>586</v>
      </c>
      <c r="F11" s="606" t="s">
        <v>125</v>
      </c>
      <c r="G11" s="606">
        <v>4677.5997749796597</v>
      </c>
      <c r="H11" s="606">
        <v>102224.18841648901</v>
      </c>
      <c r="I11" s="606">
        <v>22096.679597269002</v>
      </c>
      <c r="J11" s="606">
        <v>8.2319172488300597E-4</v>
      </c>
      <c r="K11" s="606">
        <v>0</v>
      </c>
      <c r="L11" s="606">
        <v>0</v>
      </c>
      <c r="M11" s="606">
        <v>8.2319172488300597E-4</v>
      </c>
      <c r="N11" s="606">
        <v>7.0615300977986201E-5</v>
      </c>
      <c r="O11" s="606">
        <v>0</v>
      </c>
      <c r="P11" s="606">
        <v>0</v>
      </c>
      <c r="Q11" s="606">
        <v>7.0615300977986201E-5</v>
      </c>
      <c r="R11" s="606">
        <v>2.25365758283124E-4</v>
      </c>
      <c r="S11" s="606">
        <v>1.7747553464796E-3</v>
      </c>
      <c r="T11" s="606">
        <v>2.0707364057407098E-3</v>
      </c>
      <c r="U11" s="606">
        <v>7.3808211537453497E-5</v>
      </c>
      <c r="V11" s="606">
        <v>0</v>
      </c>
      <c r="W11" s="606">
        <v>0</v>
      </c>
      <c r="X11" s="606">
        <v>7.3808211537453497E-5</v>
      </c>
      <c r="Y11" s="606">
        <v>9.0146303313249796E-4</v>
      </c>
      <c r="Z11" s="606">
        <v>4.1410958084524101E-3</v>
      </c>
      <c r="AA11" s="606">
        <v>5.1163670531223599E-3</v>
      </c>
      <c r="AB11" s="606">
        <v>17.162959683186699</v>
      </c>
      <c r="AC11" s="606">
        <v>0</v>
      </c>
      <c r="AD11" s="606">
        <v>0</v>
      </c>
      <c r="AE11" s="606">
        <v>17.162959683186699</v>
      </c>
      <c r="AF11" s="606">
        <v>1.8713582891453101E-5</v>
      </c>
      <c r="AG11" s="606">
        <v>0</v>
      </c>
      <c r="AH11" s="606">
        <v>0</v>
      </c>
      <c r="AI11" s="606">
        <v>1.8713582891453101E-5</v>
      </c>
      <c r="AJ11" s="606">
        <v>2.6977782539109401E-3</v>
      </c>
      <c r="AK11" s="606">
        <v>0</v>
      </c>
      <c r="AL11" s="606">
        <v>0</v>
      </c>
      <c r="AM11" s="606">
        <v>2.6977782539109401E-3</v>
      </c>
      <c r="AN11" s="606">
        <v>4.02892421788235E-4</v>
      </c>
      <c r="AO11" s="606">
        <v>0</v>
      </c>
      <c r="AP11" s="606">
        <v>0</v>
      </c>
      <c r="AQ11" s="606">
        <v>4.02892421788235E-4</v>
      </c>
      <c r="AR11" s="606">
        <v>0</v>
      </c>
      <c r="AS11" s="606">
        <v>0</v>
      </c>
      <c r="AT11" s="606">
        <v>0</v>
      </c>
      <c r="AU11" s="606">
        <v>0</v>
      </c>
      <c r="AV11" s="606">
        <v>4.02892421788235E-4</v>
      </c>
      <c r="AW11" s="606">
        <v>4.5866623609771803E-4</v>
      </c>
      <c r="AX11" s="606">
        <v>0</v>
      </c>
      <c r="AY11" s="606">
        <v>0</v>
      </c>
      <c r="AZ11" s="606">
        <v>4.5866623609771803E-4</v>
      </c>
      <c r="BA11" s="606">
        <v>0</v>
      </c>
      <c r="BB11" s="606">
        <v>0</v>
      </c>
      <c r="BC11" s="606">
        <v>0</v>
      </c>
      <c r="BD11" s="606">
        <v>0</v>
      </c>
      <c r="BE11" s="606">
        <v>4.5866623609771803E-4</v>
      </c>
      <c r="BF11" s="606">
        <v>1.3431283519524899E-2</v>
      </c>
      <c r="BG11" s="606">
        <v>0</v>
      </c>
      <c r="BH11" s="606">
        <v>0</v>
      </c>
      <c r="BI11" s="606">
        <v>1.3431283519524899E-2</v>
      </c>
      <c r="BJ11" s="606">
        <v>1.6225169088106899E-4</v>
      </c>
      <c r="BK11" s="606">
        <v>0</v>
      </c>
      <c r="BL11" s="606">
        <v>0</v>
      </c>
      <c r="BM11" s="606">
        <v>1.6225169088106899E-4</v>
      </c>
      <c r="BN11" s="608">
        <v>1.5296149782963699</v>
      </c>
      <c r="BO11" s="602"/>
    </row>
    <row r="12" spans="1:67">
      <c r="A12" s="607" t="s">
        <v>76</v>
      </c>
      <c r="B12" s="606">
        <v>2050</v>
      </c>
      <c r="C12" s="606" t="s">
        <v>143</v>
      </c>
      <c r="D12" s="606" t="s">
        <v>586</v>
      </c>
      <c r="E12" s="606" t="s">
        <v>586</v>
      </c>
      <c r="F12" s="606" t="s">
        <v>125</v>
      </c>
      <c r="G12" s="606">
        <v>11.3955588721468</v>
      </c>
      <c r="H12" s="606">
        <v>228.937345254587</v>
      </c>
      <c r="I12" s="606">
        <v>52.495055620529499</v>
      </c>
      <c r="J12" s="606">
        <v>6.9866876751451999E-6</v>
      </c>
      <c r="K12" s="606">
        <v>0</v>
      </c>
      <c r="L12" s="606">
        <v>0</v>
      </c>
      <c r="M12" s="606">
        <v>6.9866876751451999E-6</v>
      </c>
      <c r="N12" s="606">
        <v>1.0125499376871699E-6</v>
      </c>
      <c r="O12" s="606">
        <v>0</v>
      </c>
      <c r="P12" s="606">
        <v>0</v>
      </c>
      <c r="Q12" s="606">
        <v>1.0125499376871699E-6</v>
      </c>
      <c r="R12" s="606">
        <v>5.0472045033426596E-7</v>
      </c>
      <c r="S12" s="606">
        <v>3.9746735463823496E-6</v>
      </c>
      <c r="T12" s="606">
        <v>5.4919439344037901E-6</v>
      </c>
      <c r="U12" s="606">
        <v>1.05833295274558E-6</v>
      </c>
      <c r="V12" s="606">
        <v>0</v>
      </c>
      <c r="W12" s="606">
        <v>0</v>
      </c>
      <c r="X12" s="606">
        <v>1.05833295274558E-6</v>
      </c>
      <c r="Y12" s="606">
        <v>2.01888180133706E-6</v>
      </c>
      <c r="Z12" s="606">
        <v>9.2742382748921499E-6</v>
      </c>
      <c r="AA12" s="606">
        <v>1.23514530289748E-5</v>
      </c>
      <c r="AB12" s="606">
        <v>7.2559544651635804E-2</v>
      </c>
      <c r="AC12" s="606">
        <v>0</v>
      </c>
      <c r="AD12" s="606">
        <v>0</v>
      </c>
      <c r="AE12" s="606">
        <v>7.2559544651635804E-2</v>
      </c>
      <c r="AF12" s="606">
        <v>1.4753023754009E-7</v>
      </c>
      <c r="AG12" s="606">
        <v>0</v>
      </c>
      <c r="AH12" s="606">
        <v>0</v>
      </c>
      <c r="AI12" s="606">
        <v>1.4753023754009E-7</v>
      </c>
      <c r="AJ12" s="606">
        <v>1.1405349968084099E-5</v>
      </c>
      <c r="AK12" s="606">
        <v>0</v>
      </c>
      <c r="AL12" s="606">
        <v>0</v>
      </c>
      <c r="AM12" s="606">
        <v>1.1405349968084099E-5</v>
      </c>
      <c r="AN12" s="606">
        <v>3.1762391538964698E-6</v>
      </c>
      <c r="AO12" s="606">
        <v>0</v>
      </c>
      <c r="AP12" s="606">
        <v>0</v>
      </c>
      <c r="AQ12" s="606">
        <v>3.1762391538964698E-6</v>
      </c>
      <c r="AR12" s="606">
        <v>0</v>
      </c>
      <c r="AS12" s="606">
        <v>0</v>
      </c>
      <c r="AT12" s="606">
        <v>0</v>
      </c>
      <c r="AU12" s="606">
        <v>0</v>
      </c>
      <c r="AV12" s="606">
        <v>3.1762391538964698E-6</v>
      </c>
      <c r="AW12" s="606">
        <v>3.6159371059841398E-6</v>
      </c>
      <c r="AX12" s="606">
        <v>0</v>
      </c>
      <c r="AY12" s="606">
        <v>0</v>
      </c>
      <c r="AZ12" s="606">
        <v>3.6159371059841398E-6</v>
      </c>
      <c r="BA12" s="606">
        <v>0</v>
      </c>
      <c r="BB12" s="606">
        <v>0</v>
      </c>
      <c r="BC12" s="606">
        <v>0</v>
      </c>
      <c r="BD12" s="606">
        <v>0</v>
      </c>
      <c r="BE12" s="606">
        <v>3.6159371059841398E-6</v>
      </c>
      <c r="BF12" s="606">
        <v>3.3640617587992001E-5</v>
      </c>
      <c r="BG12" s="606">
        <v>0</v>
      </c>
      <c r="BH12" s="606">
        <v>0</v>
      </c>
      <c r="BI12" s="606">
        <v>3.3640617587992001E-5</v>
      </c>
      <c r="BJ12" s="606">
        <v>6.8594863744983305E-7</v>
      </c>
      <c r="BK12" s="606">
        <v>0</v>
      </c>
      <c r="BL12" s="606">
        <v>0</v>
      </c>
      <c r="BM12" s="606">
        <v>6.8594863744983305E-7</v>
      </c>
      <c r="BN12" s="608">
        <v>6.4667265067477504E-3</v>
      </c>
      <c r="BO12" s="602"/>
    </row>
    <row r="13" spans="1:67">
      <c r="A13" s="607" t="s">
        <v>76</v>
      </c>
      <c r="B13" s="606">
        <v>2050</v>
      </c>
      <c r="C13" s="606" t="s">
        <v>142</v>
      </c>
      <c r="D13" s="606" t="s">
        <v>586</v>
      </c>
      <c r="E13" s="606" t="s">
        <v>586</v>
      </c>
      <c r="F13" s="606" t="s">
        <v>125</v>
      </c>
      <c r="G13" s="606">
        <v>2543.2986510188798</v>
      </c>
      <c r="H13" s="606">
        <v>51980.178037545702</v>
      </c>
      <c r="I13" s="606">
        <v>11794.8135483852</v>
      </c>
      <c r="J13" s="606">
        <v>1.5828480567313E-3</v>
      </c>
      <c r="K13" s="606">
        <v>0</v>
      </c>
      <c r="L13" s="606">
        <v>0</v>
      </c>
      <c r="M13" s="606">
        <v>1.5828480567313E-3</v>
      </c>
      <c r="N13" s="606">
        <v>2.272421251255E-4</v>
      </c>
      <c r="O13" s="606">
        <v>0</v>
      </c>
      <c r="P13" s="606">
        <v>0</v>
      </c>
      <c r="Q13" s="606">
        <v>2.272421251255E-4</v>
      </c>
      <c r="R13" s="606">
        <v>1.145966763893E-4</v>
      </c>
      <c r="S13" s="606">
        <v>9.0244882656573798E-4</v>
      </c>
      <c r="T13" s="606">
        <v>1.24428762808053E-3</v>
      </c>
      <c r="U13" s="606">
        <v>2.3751700565167899E-4</v>
      </c>
      <c r="V13" s="606">
        <v>0</v>
      </c>
      <c r="W13" s="606">
        <v>0</v>
      </c>
      <c r="X13" s="606">
        <v>2.3751700565167899E-4</v>
      </c>
      <c r="Y13" s="606">
        <v>4.5838670555719998E-4</v>
      </c>
      <c r="Z13" s="606">
        <v>2.1057139286533898E-3</v>
      </c>
      <c r="AA13" s="606">
        <v>2.8016176398622701E-3</v>
      </c>
      <c r="AB13" s="606">
        <v>11.563781744530599</v>
      </c>
      <c r="AC13" s="606">
        <v>0</v>
      </c>
      <c r="AD13" s="606">
        <v>0</v>
      </c>
      <c r="AE13" s="606">
        <v>11.563781744530599</v>
      </c>
      <c r="AF13" s="606">
        <v>3.3351624341842203E-5</v>
      </c>
      <c r="AG13" s="606">
        <v>0</v>
      </c>
      <c r="AH13" s="606">
        <v>0</v>
      </c>
      <c r="AI13" s="606">
        <v>3.3351624341842203E-5</v>
      </c>
      <c r="AJ13" s="606">
        <v>1.81766545509793E-3</v>
      </c>
      <c r="AK13" s="606">
        <v>0</v>
      </c>
      <c r="AL13" s="606">
        <v>0</v>
      </c>
      <c r="AM13" s="606">
        <v>1.81766545509793E-3</v>
      </c>
      <c r="AN13" s="606">
        <v>7.1804083587826805E-4</v>
      </c>
      <c r="AO13" s="606">
        <v>0</v>
      </c>
      <c r="AP13" s="606">
        <v>0</v>
      </c>
      <c r="AQ13" s="606">
        <v>7.1804083587826805E-4</v>
      </c>
      <c r="AR13" s="606">
        <v>0</v>
      </c>
      <c r="AS13" s="606">
        <v>0</v>
      </c>
      <c r="AT13" s="606">
        <v>0</v>
      </c>
      <c r="AU13" s="606">
        <v>0</v>
      </c>
      <c r="AV13" s="606">
        <v>7.1804083587826805E-4</v>
      </c>
      <c r="AW13" s="606">
        <v>8.1744175304902995E-4</v>
      </c>
      <c r="AX13" s="606">
        <v>0</v>
      </c>
      <c r="AY13" s="606">
        <v>0</v>
      </c>
      <c r="AZ13" s="606">
        <v>8.1744175304902995E-4</v>
      </c>
      <c r="BA13" s="606">
        <v>0</v>
      </c>
      <c r="BB13" s="606">
        <v>0</v>
      </c>
      <c r="BC13" s="606">
        <v>0</v>
      </c>
      <c r="BD13" s="606">
        <v>0</v>
      </c>
      <c r="BE13" s="606">
        <v>8.1744175304902995E-4</v>
      </c>
      <c r="BF13" s="606">
        <v>7.5222619481649803E-3</v>
      </c>
      <c r="BG13" s="606">
        <v>0</v>
      </c>
      <c r="BH13" s="606">
        <v>0</v>
      </c>
      <c r="BI13" s="606">
        <v>7.5222619481649803E-3</v>
      </c>
      <c r="BJ13" s="606">
        <v>1.0931932345373601E-4</v>
      </c>
      <c r="BK13" s="606">
        <v>0</v>
      </c>
      <c r="BL13" s="606">
        <v>0</v>
      </c>
      <c r="BM13" s="606">
        <v>1.0931932345373601E-4</v>
      </c>
      <c r="BN13" s="608">
        <v>1.03059927242688</v>
      </c>
      <c r="BO13" s="602"/>
    </row>
    <row r="14" spans="1:67">
      <c r="A14" s="607" t="s">
        <v>76</v>
      </c>
      <c r="B14" s="606">
        <v>2050</v>
      </c>
      <c r="C14" s="606" t="s">
        <v>141</v>
      </c>
      <c r="D14" s="606" t="s">
        <v>586</v>
      </c>
      <c r="E14" s="606" t="s">
        <v>586</v>
      </c>
      <c r="F14" s="606" t="s">
        <v>125</v>
      </c>
      <c r="G14" s="606">
        <v>15592.3553733155</v>
      </c>
      <c r="H14" s="606">
        <v>349986.24208862102</v>
      </c>
      <c r="I14" s="606">
        <v>196132.21541325</v>
      </c>
      <c r="J14" s="606">
        <v>2.7978929809789398E-2</v>
      </c>
      <c r="K14" s="606">
        <v>1.3790440826519999E-2</v>
      </c>
      <c r="L14" s="606">
        <v>0</v>
      </c>
      <c r="M14" s="606">
        <v>4.1769370636309401E-2</v>
      </c>
      <c r="N14" s="606">
        <v>2.5653898974362399E-3</v>
      </c>
      <c r="O14" s="606">
        <v>4.54094162138099E-4</v>
      </c>
      <c r="P14" s="606">
        <v>0</v>
      </c>
      <c r="Q14" s="606">
        <v>3.01948405957434E-3</v>
      </c>
      <c r="R14" s="606">
        <v>1.1573813799666201E-3</v>
      </c>
      <c r="S14" s="606">
        <v>1.26386046692355E-2</v>
      </c>
      <c r="T14" s="606">
        <v>1.6815470108776501E-2</v>
      </c>
      <c r="U14" s="606">
        <v>2.68138544484924E-3</v>
      </c>
      <c r="V14" s="606">
        <v>4.7462628513698202E-4</v>
      </c>
      <c r="W14" s="606">
        <v>0</v>
      </c>
      <c r="X14" s="606">
        <v>3.1560117299862201E-3</v>
      </c>
      <c r="Y14" s="606">
        <v>4.6295255198665003E-3</v>
      </c>
      <c r="Z14" s="606">
        <v>2.9490077561549598E-2</v>
      </c>
      <c r="AA14" s="606">
        <v>3.7275614811402298E-2</v>
      </c>
      <c r="AB14" s="606">
        <v>166.52447122176099</v>
      </c>
      <c r="AC14" s="606">
        <v>1.77664066839023</v>
      </c>
      <c r="AD14" s="606">
        <v>0</v>
      </c>
      <c r="AE14" s="606">
        <v>168.30111189015099</v>
      </c>
      <c r="AF14" s="606">
        <v>2.2401163811692402E-3</v>
      </c>
      <c r="AG14" s="606">
        <v>8.7624719635195794E-5</v>
      </c>
      <c r="AH14" s="606">
        <v>0</v>
      </c>
      <c r="AI14" s="606">
        <v>2.3277411008044398E-3</v>
      </c>
      <c r="AJ14" s="606">
        <v>2.6175327886260698E-2</v>
      </c>
      <c r="AK14" s="606">
        <v>2.7926317189291697E-4</v>
      </c>
      <c r="AL14" s="606">
        <v>0</v>
      </c>
      <c r="AM14" s="606">
        <v>2.64545910581536E-2</v>
      </c>
      <c r="AN14" s="606">
        <v>4.8228386788987103E-2</v>
      </c>
      <c r="AO14" s="606">
        <v>1.88650862355508E-3</v>
      </c>
      <c r="AP14" s="606">
        <v>0</v>
      </c>
      <c r="AQ14" s="606">
        <v>5.0114895412542201E-2</v>
      </c>
      <c r="AR14" s="606">
        <v>0</v>
      </c>
      <c r="AS14" s="606">
        <v>0</v>
      </c>
      <c r="AT14" s="606">
        <v>0</v>
      </c>
      <c r="AU14" s="606">
        <v>0</v>
      </c>
      <c r="AV14" s="606">
        <v>5.0114895412542201E-2</v>
      </c>
      <c r="AW14" s="606">
        <v>5.4904811918245797E-2</v>
      </c>
      <c r="AX14" s="606">
        <v>2.1476646443022301E-3</v>
      </c>
      <c r="AY14" s="606">
        <v>0</v>
      </c>
      <c r="AZ14" s="606">
        <v>5.7052476562548103E-2</v>
      </c>
      <c r="BA14" s="606">
        <v>0</v>
      </c>
      <c r="BB14" s="606">
        <v>0</v>
      </c>
      <c r="BC14" s="606">
        <v>0</v>
      </c>
      <c r="BD14" s="606">
        <v>0</v>
      </c>
      <c r="BE14" s="606">
        <v>5.7052476562548103E-2</v>
      </c>
      <c r="BF14" s="606">
        <v>0.2260546012686</v>
      </c>
      <c r="BG14" s="606">
        <v>1.5636356996382401E-2</v>
      </c>
      <c r="BH14" s="606">
        <v>0</v>
      </c>
      <c r="BI14" s="606">
        <v>0.24169095826498199</v>
      </c>
      <c r="BJ14" s="606">
        <v>1.57425511261179E-3</v>
      </c>
      <c r="BK14" s="606">
        <v>1.6795643516938299E-5</v>
      </c>
      <c r="BL14" s="606">
        <v>0</v>
      </c>
      <c r="BM14" s="606">
        <v>1.5910507561287201E-3</v>
      </c>
      <c r="BN14" s="608">
        <v>14.999505118181901</v>
      </c>
      <c r="BO14" s="602"/>
    </row>
    <row r="15" spans="1:67">
      <c r="A15" s="607" t="s">
        <v>76</v>
      </c>
      <c r="B15" s="606">
        <v>2050</v>
      </c>
      <c r="C15" s="606" t="s">
        <v>140</v>
      </c>
      <c r="D15" s="606" t="s">
        <v>586</v>
      </c>
      <c r="E15" s="606" t="s">
        <v>586</v>
      </c>
      <c r="F15" s="606" t="s">
        <v>125</v>
      </c>
      <c r="G15" s="606">
        <v>6327.9739516985701</v>
      </c>
      <c r="H15" s="606">
        <v>137071.38160973799</v>
      </c>
      <c r="I15" s="606">
        <v>79597.951721136793</v>
      </c>
      <c r="J15" s="606">
        <v>1.24281711099305E-2</v>
      </c>
      <c r="K15" s="606">
        <v>5.7486726204613002E-3</v>
      </c>
      <c r="L15" s="606">
        <v>0</v>
      </c>
      <c r="M15" s="606">
        <v>1.8176843730391901E-2</v>
      </c>
      <c r="N15" s="606">
        <v>2.4660305148069199E-3</v>
      </c>
      <c r="O15" s="606">
        <v>1.8422441766363599E-4</v>
      </c>
      <c r="P15" s="606">
        <v>0</v>
      </c>
      <c r="Q15" s="606">
        <v>2.6502549324705599E-3</v>
      </c>
      <c r="R15" s="606">
        <v>4.5328600305734399E-4</v>
      </c>
      <c r="S15" s="606">
        <v>5.7748636789505701E-3</v>
      </c>
      <c r="T15" s="606">
        <v>8.8784046144784797E-3</v>
      </c>
      <c r="U15" s="606">
        <v>2.5775334718381501E-3</v>
      </c>
      <c r="V15" s="606">
        <v>1.9255422834663899E-4</v>
      </c>
      <c r="W15" s="606">
        <v>0</v>
      </c>
      <c r="X15" s="606">
        <v>2.77008770018479E-3</v>
      </c>
      <c r="Y15" s="606">
        <v>1.8131440122293699E-3</v>
      </c>
      <c r="Z15" s="606">
        <v>1.3474681917551299E-2</v>
      </c>
      <c r="AA15" s="606">
        <v>1.8057913629965502E-2</v>
      </c>
      <c r="AB15" s="606">
        <v>73.336569694245696</v>
      </c>
      <c r="AC15" s="606">
        <v>1.16955054362968</v>
      </c>
      <c r="AD15" s="606">
        <v>0</v>
      </c>
      <c r="AE15" s="606">
        <v>74.506120237875393</v>
      </c>
      <c r="AF15" s="606">
        <v>8.81581665278452E-4</v>
      </c>
      <c r="AG15" s="606">
        <v>3.5561461376473397E-5</v>
      </c>
      <c r="AH15" s="606">
        <v>0</v>
      </c>
      <c r="AI15" s="606">
        <v>9.1714312665492595E-4</v>
      </c>
      <c r="AJ15" s="606">
        <v>1.1527487484071499E-2</v>
      </c>
      <c r="AK15" s="606">
        <v>1.8383705850831601E-4</v>
      </c>
      <c r="AL15" s="606">
        <v>0</v>
      </c>
      <c r="AM15" s="606">
        <v>1.17113245425799E-2</v>
      </c>
      <c r="AN15" s="606">
        <v>1.8979934210800398E-2</v>
      </c>
      <c r="AO15" s="606">
        <v>7.6561732616365003E-4</v>
      </c>
      <c r="AP15" s="606">
        <v>0</v>
      </c>
      <c r="AQ15" s="606">
        <v>1.9745551536964102E-2</v>
      </c>
      <c r="AR15" s="606">
        <v>0</v>
      </c>
      <c r="AS15" s="606">
        <v>0</v>
      </c>
      <c r="AT15" s="606">
        <v>0</v>
      </c>
      <c r="AU15" s="606">
        <v>0</v>
      </c>
      <c r="AV15" s="606">
        <v>1.9745551536964102E-2</v>
      </c>
      <c r="AW15" s="606">
        <v>2.1607393227231798E-2</v>
      </c>
      <c r="AX15" s="606">
        <v>8.7160442413894597E-4</v>
      </c>
      <c r="AY15" s="606">
        <v>0</v>
      </c>
      <c r="AZ15" s="606">
        <v>2.2478997651370701E-2</v>
      </c>
      <c r="BA15" s="606">
        <v>0</v>
      </c>
      <c r="BB15" s="606">
        <v>0</v>
      </c>
      <c r="BC15" s="606">
        <v>0</v>
      </c>
      <c r="BD15" s="606">
        <v>0</v>
      </c>
      <c r="BE15" s="606">
        <v>2.2478997651370701E-2</v>
      </c>
      <c r="BF15" s="606">
        <v>8.9759925080471703E-2</v>
      </c>
      <c r="BG15" s="606">
        <v>6.34583149264944E-3</v>
      </c>
      <c r="BH15" s="606">
        <v>0</v>
      </c>
      <c r="BI15" s="606">
        <v>9.6105756573121204E-2</v>
      </c>
      <c r="BJ15" s="606">
        <v>6.9329431845984596E-4</v>
      </c>
      <c r="BK15" s="606">
        <v>1.10564586049039E-5</v>
      </c>
      <c r="BL15" s="606">
        <v>0</v>
      </c>
      <c r="BM15" s="606">
        <v>7.0435077706474997E-4</v>
      </c>
      <c r="BN15" s="608">
        <v>6.6402112219752203</v>
      </c>
      <c r="BO15" s="602"/>
    </row>
    <row r="16" spans="1:67">
      <c r="A16" s="607" t="s">
        <v>76</v>
      </c>
      <c r="B16" s="606">
        <v>2050</v>
      </c>
      <c r="C16" s="606" t="s">
        <v>138</v>
      </c>
      <c r="D16" s="606" t="s">
        <v>586</v>
      </c>
      <c r="E16" s="606" t="s">
        <v>586</v>
      </c>
      <c r="F16" s="606" t="s">
        <v>125</v>
      </c>
      <c r="G16" s="606">
        <v>5710.2268065835597</v>
      </c>
      <c r="H16" s="606">
        <v>117036.78324182599</v>
      </c>
      <c r="I16" s="606">
        <v>26334.273869923501</v>
      </c>
      <c r="J16" s="606">
        <v>1.0578138373557001E-3</v>
      </c>
      <c r="K16" s="606">
        <v>0</v>
      </c>
      <c r="L16" s="606">
        <v>0</v>
      </c>
      <c r="M16" s="606">
        <v>1.0578138373557001E-3</v>
      </c>
      <c r="N16" s="606">
        <v>9.3055930736479596E-5</v>
      </c>
      <c r="O16" s="606">
        <v>0</v>
      </c>
      <c r="P16" s="606">
        <v>0</v>
      </c>
      <c r="Q16" s="606">
        <v>9.3055930736479596E-5</v>
      </c>
      <c r="R16" s="606">
        <v>2.5802193992334298E-4</v>
      </c>
      <c r="S16" s="606">
        <v>2.0319227768963201E-3</v>
      </c>
      <c r="T16" s="606">
        <v>2.3830006475561399E-3</v>
      </c>
      <c r="U16" s="606">
        <v>9.7263506994806306E-5</v>
      </c>
      <c r="V16" s="606">
        <v>0</v>
      </c>
      <c r="W16" s="606">
        <v>0</v>
      </c>
      <c r="X16" s="606">
        <v>9.7263506994806306E-5</v>
      </c>
      <c r="Y16" s="606">
        <v>1.03208775969337E-3</v>
      </c>
      <c r="Z16" s="606">
        <v>4.7411531460914199E-3</v>
      </c>
      <c r="AA16" s="606">
        <v>5.8705044127795999E-3</v>
      </c>
      <c r="AB16" s="606">
        <v>33.710723911683999</v>
      </c>
      <c r="AC16" s="606">
        <v>0</v>
      </c>
      <c r="AD16" s="606">
        <v>0</v>
      </c>
      <c r="AE16" s="606">
        <v>33.710723911683999</v>
      </c>
      <c r="AF16" s="606">
        <v>2.45549058130236E-5</v>
      </c>
      <c r="AG16" s="606">
        <v>0</v>
      </c>
      <c r="AH16" s="606">
        <v>0</v>
      </c>
      <c r="AI16" s="606">
        <v>2.45549058130236E-5</v>
      </c>
      <c r="AJ16" s="606">
        <v>5.2988563494458301E-3</v>
      </c>
      <c r="AK16" s="606">
        <v>0</v>
      </c>
      <c r="AL16" s="606">
        <v>0</v>
      </c>
      <c r="AM16" s="606">
        <v>5.2988563494458301E-3</v>
      </c>
      <c r="AN16" s="606">
        <v>5.2865266513498204E-4</v>
      </c>
      <c r="AO16" s="606">
        <v>0</v>
      </c>
      <c r="AP16" s="606">
        <v>0</v>
      </c>
      <c r="AQ16" s="606">
        <v>5.2865266513498204E-4</v>
      </c>
      <c r="AR16" s="606">
        <v>0</v>
      </c>
      <c r="AS16" s="606">
        <v>0</v>
      </c>
      <c r="AT16" s="606">
        <v>0</v>
      </c>
      <c r="AU16" s="606">
        <v>0</v>
      </c>
      <c r="AV16" s="606">
        <v>5.2865266513498204E-4</v>
      </c>
      <c r="AW16" s="606">
        <v>6.0183591203891401E-4</v>
      </c>
      <c r="AX16" s="606">
        <v>0</v>
      </c>
      <c r="AY16" s="606">
        <v>0</v>
      </c>
      <c r="AZ16" s="606">
        <v>6.0183591203891401E-4</v>
      </c>
      <c r="BA16" s="606">
        <v>0</v>
      </c>
      <c r="BB16" s="606">
        <v>0</v>
      </c>
      <c r="BC16" s="606">
        <v>0</v>
      </c>
      <c r="BD16" s="606">
        <v>0</v>
      </c>
      <c r="BE16" s="606">
        <v>6.0183591203891401E-4</v>
      </c>
      <c r="BF16" s="606">
        <v>1.7689904882168001E-2</v>
      </c>
      <c r="BG16" s="606">
        <v>0</v>
      </c>
      <c r="BH16" s="606">
        <v>0</v>
      </c>
      <c r="BI16" s="606">
        <v>1.7689904882168001E-2</v>
      </c>
      <c r="BJ16" s="606">
        <v>3.18687572333681E-4</v>
      </c>
      <c r="BK16" s="606">
        <v>0</v>
      </c>
      <c r="BL16" s="606">
        <v>0</v>
      </c>
      <c r="BM16" s="606">
        <v>3.18687572333681E-4</v>
      </c>
      <c r="BN16" s="608">
        <v>3.00440187335751</v>
      </c>
      <c r="BO16" s="602"/>
    </row>
    <row r="17" spans="1:67">
      <c r="A17" s="607" t="s">
        <v>76</v>
      </c>
      <c r="B17" s="606">
        <v>2050</v>
      </c>
      <c r="C17" s="606" t="s">
        <v>137</v>
      </c>
      <c r="D17" s="606" t="s">
        <v>586</v>
      </c>
      <c r="E17" s="606" t="s">
        <v>586</v>
      </c>
      <c r="F17" s="606" t="s">
        <v>125</v>
      </c>
      <c r="G17" s="606">
        <v>1238.8018475623901</v>
      </c>
      <c r="H17" s="606">
        <v>7234.0231917418596</v>
      </c>
      <c r="I17" s="606">
        <v>123.880184756239</v>
      </c>
      <c r="J17" s="606">
        <v>1.9228268786961E-2</v>
      </c>
      <c r="K17" s="606">
        <v>0</v>
      </c>
      <c r="L17" s="606">
        <v>0</v>
      </c>
      <c r="M17" s="606">
        <v>1.9228268786961E-2</v>
      </c>
      <c r="N17" s="606">
        <v>1.21200282611479E-4</v>
      </c>
      <c r="O17" s="606">
        <v>0</v>
      </c>
      <c r="P17" s="606">
        <v>0</v>
      </c>
      <c r="Q17" s="606">
        <v>1.21200282611479E-4</v>
      </c>
      <c r="R17" s="606">
        <v>3.1896582350985598E-5</v>
      </c>
      <c r="S17" s="606">
        <v>4.4543577253151401E-4</v>
      </c>
      <c r="T17" s="606">
        <v>5.9853263749397897E-4</v>
      </c>
      <c r="U17" s="606">
        <v>1.2668042157288199E-4</v>
      </c>
      <c r="V17" s="606">
        <v>0</v>
      </c>
      <c r="W17" s="606">
        <v>0</v>
      </c>
      <c r="X17" s="606">
        <v>1.2668042157288199E-4</v>
      </c>
      <c r="Y17" s="606">
        <v>1.2758632940394201E-4</v>
      </c>
      <c r="Z17" s="606">
        <v>1.0393501359068601E-3</v>
      </c>
      <c r="AA17" s="606">
        <v>1.29361688688369E-3</v>
      </c>
      <c r="AB17" s="606">
        <v>6.4971005761488803</v>
      </c>
      <c r="AC17" s="606">
        <v>0</v>
      </c>
      <c r="AD17" s="606">
        <v>0</v>
      </c>
      <c r="AE17" s="606">
        <v>6.4971005761488803</v>
      </c>
      <c r="AF17" s="606">
        <v>2.6742761068692801E-5</v>
      </c>
      <c r="AG17" s="606">
        <v>0</v>
      </c>
      <c r="AH17" s="606">
        <v>0</v>
      </c>
      <c r="AI17" s="606">
        <v>2.6742761068692801E-5</v>
      </c>
      <c r="AJ17" s="606">
        <v>1.0212537331179101E-3</v>
      </c>
      <c r="AK17" s="606">
        <v>0</v>
      </c>
      <c r="AL17" s="606">
        <v>0</v>
      </c>
      <c r="AM17" s="606">
        <v>1.0212537331179101E-3</v>
      </c>
      <c r="AN17" s="606">
        <v>5.75755900661369E-4</v>
      </c>
      <c r="AO17" s="606">
        <v>0</v>
      </c>
      <c r="AP17" s="606">
        <v>0</v>
      </c>
      <c r="AQ17" s="606">
        <v>5.75755900661369E-4</v>
      </c>
      <c r="AR17" s="606">
        <v>0</v>
      </c>
      <c r="AS17" s="606">
        <v>0</v>
      </c>
      <c r="AT17" s="606">
        <v>0</v>
      </c>
      <c r="AU17" s="606">
        <v>0</v>
      </c>
      <c r="AV17" s="606">
        <v>5.75755900661369E-4</v>
      </c>
      <c r="AW17" s="606">
        <v>6.5545981404982803E-4</v>
      </c>
      <c r="AX17" s="606">
        <v>0</v>
      </c>
      <c r="AY17" s="606">
        <v>0</v>
      </c>
      <c r="AZ17" s="606">
        <v>6.5545981404982803E-4</v>
      </c>
      <c r="BA17" s="606">
        <v>0</v>
      </c>
      <c r="BB17" s="606">
        <v>0</v>
      </c>
      <c r="BC17" s="606">
        <v>0</v>
      </c>
      <c r="BD17" s="606">
        <v>0</v>
      </c>
      <c r="BE17" s="606">
        <v>6.5545981404982803E-4</v>
      </c>
      <c r="BF17" s="606">
        <v>1.6272468054921801E-3</v>
      </c>
      <c r="BG17" s="606">
        <v>0</v>
      </c>
      <c r="BH17" s="606">
        <v>0</v>
      </c>
      <c r="BI17" s="606">
        <v>1.6272468054921801E-3</v>
      </c>
      <c r="BJ17" s="606">
        <v>6.1420965484013394E-5</v>
      </c>
      <c r="BK17" s="606">
        <v>0</v>
      </c>
      <c r="BL17" s="606">
        <v>0</v>
      </c>
      <c r="BM17" s="606">
        <v>6.1420965484013394E-5</v>
      </c>
      <c r="BN17" s="608">
        <v>0.57904129242410995</v>
      </c>
      <c r="BO17" s="602"/>
    </row>
    <row r="18" spans="1:67">
      <c r="A18" s="607" t="s">
        <v>76</v>
      </c>
      <c r="B18" s="606">
        <v>2050</v>
      </c>
      <c r="C18" s="606" t="s">
        <v>173</v>
      </c>
      <c r="D18" s="606" t="s">
        <v>586</v>
      </c>
      <c r="E18" s="606" t="s">
        <v>586</v>
      </c>
      <c r="F18" s="606" t="s">
        <v>125</v>
      </c>
      <c r="G18" s="606">
        <v>114.113119258845</v>
      </c>
      <c r="H18" s="606">
        <v>14145.914394268901</v>
      </c>
      <c r="I18" s="606">
        <v>1666.05154117914</v>
      </c>
      <c r="J18" s="606">
        <v>2.7645830222289398E-2</v>
      </c>
      <c r="K18" s="606">
        <v>5.93815949538983E-3</v>
      </c>
      <c r="L18" s="606">
        <v>4.1033357962314797E-3</v>
      </c>
      <c r="M18" s="606">
        <v>3.7687325513910797E-2</v>
      </c>
      <c r="N18" s="606">
        <v>3.4151119493098798E-4</v>
      </c>
      <c r="O18" s="606">
        <v>2.0460900724269899E-6</v>
      </c>
      <c r="P18" s="606">
        <v>0</v>
      </c>
      <c r="Q18" s="606">
        <v>3.43557285003415E-4</v>
      </c>
      <c r="R18" s="606">
        <v>4.6779604320512401E-5</v>
      </c>
      <c r="S18" s="606">
        <v>8.7103623244793997E-4</v>
      </c>
      <c r="T18" s="606">
        <v>1.2613731217718601E-3</v>
      </c>
      <c r="U18" s="606">
        <v>3.5695281573228397E-4</v>
      </c>
      <c r="V18" s="606">
        <v>2.1386051861119101E-6</v>
      </c>
      <c r="W18" s="606">
        <v>0</v>
      </c>
      <c r="X18" s="606">
        <v>3.5909142091839603E-4</v>
      </c>
      <c r="Y18" s="606">
        <v>1.8711841728204901E-4</v>
      </c>
      <c r="Z18" s="606">
        <v>2.0324178757118601E-3</v>
      </c>
      <c r="AA18" s="606">
        <v>2.5786277139122999E-3</v>
      </c>
      <c r="AB18" s="606">
        <v>18.202510115488501</v>
      </c>
      <c r="AC18" s="606">
        <v>1.0469409409428001</v>
      </c>
      <c r="AD18" s="606">
        <v>0</v>
      </c>
      <c r="AE18" s="606">
        <v>19.249451056431301</v>
      </c>
      <c r="AF18" s="606">
        <v>1.31433475256793E-5</v>
      </c>
      <c r="AG18" s="606">
        <v>2.3340408107592699E-5</v>
      </c>
      <c r="AH18" s="606">
        <v>0</v>
      </c>
      <c r="AI18" s="606">
        <v>3.6483755633272102E-5</v>
      </c>
      <c r="AJ18" s="606">
        <v>2.8611811052766502E-3</v>
      </c>
      <c r="AK18" s="606">
        <v>1.64564536405187E-4</v>
      </c>
      <c r="AL18" s="606">
        <v>0</v>
      </c>
      <c r="AM18" s="606">
        <v>3.0257456416818399E-3</v>
      </c>
      <c r="AN18" s="606">
        <v>2.8297266803557102E-4</v>
      </c>
      <c r="AO18" s="606">
        <v>5.0251258610794602E-4</v>
      </c>
      <c r="AP18" s="606">
        <v>0</v>
      </c>
      <c r="AQ18" s="606">
        <v>7.8548525414351704E-4</v>
      </c>
      <c r="AR18" s="606">
        <v>0</v>
      </c>
      <c r="AS18" s="606">
        <v>0</v>
      </c>
      <c r="AT18" s="606">
        <v>0</v>
      </c>
      <c r="AU18" s="606">
        <v>0</v>
      </c>
      <c r="AV18" s="606">
        <v>7.8548525414351704E-4</v>
      </c>
      <c r="AW18" s="606">
        <v>3.2214284231434298E-4</v>
      </c>
      <c r="AX18" s="606">
        <v>5.7207232737825696E-4</v>
      </c>
      <c r="AY18" s="606">
        <v>0</v>
      </c>
      <c r="AZ18" s="606">
        <v>8.9421516969259999E-4</v>
      </c>
      <c r="BA18" s="606">
        <v>0</v>
      </c>
      <c r="BB18" s="606">
        <v>0</v>
      </c>
      <c r="BC18" s="606">
        <v>0</v>
      </c>
      <c r="BD18" s="606">
        <v>0</v>
      </c>
      <c r="BE18" s="606">
        <v>8.9421516969259999E-4</v>
      </c>
      <c r="BF18" s="606">
        <v>2.6296172894116798E-3</v>
      </c>
      <c r="BG18" s="606">
        <v>7.4250353650190098E-3</v>
      </c>
      <c r="BH18" s="606">
        <v>0</v>
      </c>
      <c r="BI18" s="606">
        <v>1.00546526544307E-2</v>
      </c>
      <c r="BJ18" s="606">
        <v>1.7196828993682099E-4</v>
      </c>
      <c r="BK18" s="606">
        <v>9.8909788889821105E-6</v>
      </c>
      <c r="BL18" s="606">
        <v>0</v>
      </c>
      <c r="BM18" s="606">
        <v>1.8185926882580299E-4</v>
      </c>
      <c r="BN18" s="608">
        <v>1.7155694124682099</v>
      </c>
      <c r="BO18" s="602"/>
    </row>
    <row r="19" spans="1:67">
      <c r="A19" s="607" t="s">
        <v>76</v>
      </c>
      <c r="B19" s="606">
        <v>2050</v>
      </c>
      <c r="C19" s="606" t="s">
        <v>172</v>
      </c>
      <c r="D19" s="606" t="s">
        <v>586</v>
      </c>
      <c r="E19" s="606" t="s">
        <v>586</v>
      </c>
      <c r="F19" s="606" t="s">
        <v>125</v>
      </c>
      <c r="G19" s="606">
        <v>0</v>
      </c>
      <c r="H19" s="606">
        <v>2618.0697392699499</v>
      </c>
      <c r="I19" s="606">
        <v>0</v>
      </c>
      <c r="J19" s="606">
        <v>1.3817426593744299E-2</v>
      </c>
      <c r="K19" s="606">
        <v>0</v>
      </c>
      <c r="L19" s="606">
        <v>0</v>
      </c>
      <c r="M19" s="606">
        <v>1.3817426593744299E-2</v>
      </c>
      <c r="N19" s="606">
        <v>1.4276503057638499E-5</v>
      </c>
      <c r="O19" s="606">
        <v>0</v>
      </c>
      <c r="P19" s="606">
        <v>0</v>
      </c>
      <c r="Q19" s="606">
        <v>1.4276503057638499E-5</v>
      </c>
      <c r="R19" s="606">
        <v>0</v>
      </c>
      <c r="S19" s="606">
        <v>0</v>
      </c>
      <c r="T19" s="606">
        <v>1.4276503057638499E-5</v>
      </c>
      <c r="U19" s="606">
        <v>1.4922023174860801E-5</v>
      </c>
      <c r="V19" s="606">
        <v>0</v>
      </c>
      <c r="W19" s="606">
        <v>0</v>
      </c>
      <c r="X19" s="606">
        <v>1.4922023174860801E-5</v>
      </c>
      <c r="Y19" s="606">
        <v>0</v>
      </c>
      <c r="Z19" s="606">
        <v>0</v>
      </c>
      <c r="AA19" s="606">
        <v>1.4922023174860801E-5</v>
      </c>
      <c r="AB19" s="606">
        <v>4.3537824713144797</v>
      </c>
      <c r="AC19" s="606">
        <v>0</v>
      </c>
      <c r="AD19" s="606">
        <v>0</v>
      </c>
      <c r="AE19" s="606">
        <v>4.3537824713144797</v>
      </c>
      <c r="AF19" s="606">
        <v>3.50142570003444E-6</v>
      </c>
      <c r="AG19" s="606">
        <v>0</v>
      </c>
      <c r="AH19" s="606">
        <v>0</v>
      </c>
      <c r="AI19" s="606">
        <v>3.50142570003444E-6</v>
      </c>
      <c r="AJ19" s="606">
        <v>6.84353974499927E-4</v>
      </c>
      <c r="AK19" s="606">
        <v>0</v>
      </c>
      <c r="AL19" s="606">
        <v>0</v>
      </c>
      <c r="AM19" s="606">
        <v>6.84353974499927E-4</v>
      </c>
      <c r="AN19" s="606">
        <v>7.5384735154513202E-5</v>
      </c>
      <c r="AO19" s="606">
        <v>0</v>
      </c>
      <c r="AP19" s="606">
        <v>0</v>
      </c>
      <c r="AQ19" s="606">
        <v>7.5384735154513202E-5</v>
      </c>
      <c r="AR19" s="606">
        <v>0</v>
      </c>
      <c r="AS19" s="606">
        <v>0</v>
      </c>
      <c r="AT19" s="606">
        <v>0</v>
      </c>
      <c r="AU19" s="606">
        <v>0</v>
      </c>
      <c r="AV19" s="606">
        <v>7.5384735154513202E-5</v>
      </c>
      <c r="AW19" s="606">
        <v>8.5819782590225601E-5</v>
      </c>
      <c r="AX19" s="606">
        <v>0</v>
      </c>
      <c r="AY19" s="606">
        <v>0</v>
      </c>
      <c r="AZ19" s="606">
        <v>8.5819782590225601E-5</v>
      </c>
      <c r="BA19" s="606">
        <v>0</v>
      </c>
      <c r="BB19" s="606">
        <v>0</v>
      </c>
      <c r="BC19" s="606">
        <v>0</v>
      </c>
      <c r="BD19" s="606">
        <v>0</v>
      </c>
      <c r="BE19" s="606">
        <v>8.5819782590225601E-5</v>
      </c>
      <c r="BF19" s="606">
        <v>1.20800123274693E-3</v>
      </c>
      <c r="BG19" s="606">
        <v>0</v>
      </c>
      <c r="BH19" s="606">
        <v>0</v>
      </c>
      <c r="BI19" s="606">
        <v>1.20800123274693E-3</v>
      </c>
      <c r="BJ19" s="606">
        <v>4.11323779851537E-5</v>
      </c>
      <c r="BK19" s="606">
        <v>0</v>
      </c>
      <c r="BL19" s="606">
        <v>0</v>
      </c>
      <c r="BM19" s="606">
        <v>4.11323779851537E-5</v>
      </c>
      <c r="BN19" s="608">
        <v>0.388022287722948</v>
      </c>
      <c r="BO19" s="602"/>
    </row>
    <row r="20" spans="1:67">
      <c r="A20" s="607" t="s">
        <v>76</v>
      </c>
      <c r="B20" s="606">
        <v>2050</v>
      </c>
      <c r="C20" s="606" t="s">
        <v>135</v>
      </c>
      <c r="D20" s="606" t="s">
        <v>586</v>
      </c>
      <c r="E20" s="606" t="s">
        <v>586</v>
      </c>
      <c r="F20" s="606" t="s">
        <v>125</v>
      </c>
      <c r="G20" s="606">
        <v>133.87924274912501</v>
      </c>
      <c r="H20" s="606">
        <v>4231.8629916312002</v>
      </c>
      <c r="I20" s="606">
        <v>1544.9478996743001</v>
      </c>
      <c r="J20" s="606">
        <v>6.5773693155088998E-3</v>
      </c>
      <c r="K20" s="606">
        <v>2.28671743698792E-3</v>
      </c>
      <c r="L20" s="606">
        <v>3.6487579737109598E-3</v>
      </c>
      <c r="M20" s="606">
        <v>1.25128447262077E-2</v>
      </c>
      <c r="N20" s="606">
        <v>3.43535013667856E-5</v>
      </c>
      <c r="O20" s="606">
        <v>5.4608295592821296E-7</v>
      </c>
      <c r="P20" s="606">
        <v>0</v>
      </c>
      <c r="Q20" s="606">
        <v>3.4899584322713803E-5</v>
      </c>
      <c r="R20" s="606">
        <v>1.3994491325872099E-5</v>
      </c>
      <c r="S20" s="606">
        <v>1.4890138770728E-3</v>
      </c>
      <c r="T20" s="606">
        <v>1.5379079527213799E-3</v>
      </c>
      <c r="U20" s="606">
        <v>3.5906814257186997E-5</v>
      </c>
      <c r="V20" s="606">
        <v>5.7077440398805896E-7</v>
      </c>
      <c r="W20" s="606">
        <v>0</v>
      </c>
      <c r="X20" s="606">
        <v>3.6477588661175099E-5</v>
      </c>
      <c r="Y20" s="606">
        <v>5.5977965303488703E-5</v>
      </c>
      <c r="Z20" s="606">
        <v>3.47436571316987E-3</v>
      </c>
      <c r="AA20" s="606">
        <v>3.5668212671345302E-3</v>
      </c>
      <c r="AB20" s="606">
        <v>3.7214296498379098</v>
      </c>
      <c r="AC20" s="606">
        <v>0.39281417214279701</v>
      </c>
      <c r="AD20" s="606">
        <v>0</v>
      </c>
      <c r="AE20" s="606">
        <v>4.1142438219807103</v>
      </c>
      <c r="AF20" s="606">
        <v>1.9391072545994902E-6</v>
      </c>
      <c r="AG20" s="606">
        <v>1.83491978928518E-6</v>
      </c>
      <c r="AH20" s="606">
        <v>0</v>
      </c>
      <c r="AI20" s="606">
        <v>3.7740270438846702E-6</v>
      </c>
      <c r="AJ20" s="606">
        <v>5.84956916995335E-4</v>
      </c>
      <c r="AK20" s="606">
        <v>6.1744917601420598E-5</v>
      </c>
      <c r="AL20" s="606">
        <v>0</v>
      </c>
      <c r="AM20" s="606">
        <v>6.4670183459675603E-4</v>
      </c>
      <c r="AN20" s="606">
        <v>4.1748447446061702E-5</v>
      </c>
      <c r="AO20" s="606">
        <v>3.95053198883181E-5</v>
      </c>
      <c r="AP20" s="606">
        <v>0</v>
      </c>
      <c r="AQ20" s="606">
        <v>8.1253767334379796E-5</v>
      </c>
      <c r="AR20" s="606">
        <v>0</v>
      </c>
      <c r="AS20" s="606">
        <v>0</v>
      </c>
      <c r="AT20" s="606">
        <v>0</v>
      </c>
      <c r="AU20" s="606">
        <v>0</v>
      </c>
      <c r="AV20" s="606">
        <v>8.1253767334379796E-5</v>
      </c>
      <c r="AW20" s="606">
        <v>4.75274294717207E-5</v>
      </c>
      <c r="AX20" s="606">
        <v>4.4973799496989999E-5</v>
      </c>
      <c r="AY20" s="606">
        <v>0</v>
      </c>
      <c r="AZ20" s="606">
        <v>9.25012289687108E-5</v>
      </c>
      <c r="BA20" s="606">
        <v>0</v>
      </c>
      <c r="BB20" s="606">
        <v>0</v>
      </c>
      <c r="BC20" s="606">
        <v>0</v>
      </c>
      <c r="BD20" s="606">
        <v>0</v>
      </c>
      <c r="BE20" s="606">
        <v>9.25012289687108E-5</v>
      </c>
      <c r="BF20" s="606">
        <v>4.57762531497088E-4</v>
      </c>
      <c r="BG20" s="606">
        <v>1.67280644913005E-3</v>
      </c>
      <c r="BH20" s="606">
        <v>0</v>
      </c>
      <c r="BI20" s="606">
        <v>2.13056898062714E-3</v>
      </c>
      <c r="BJ20" s="606">
        <v>3.5158222077199103E-5</v>
      </c>
      <c r="BK20" s="606">
        <v>3.7111135232313501E-6</v>
      </c>
      <c r="BL20" s="606">
        <v>0</v>
      </c>
      <c r="BM20" s="606">
        <v>3.8869335600430499E-5</v>
      </c>
      <c r="BN20" s="608">
        <v>0.36667387738666102</v>
      </c>
      <c r="BO20" s="602"/>
    </row>
    <row r="21" spans="1:67">
      <c r="A21" s="607" t="s">
        <v>76</v>
      </c>
      <c r="B21" s="606">
        <v>2050</v>
      </c>
      <c r="C21" s="606" t="s">
        <v>170</v>
      </c>
      <c r="D21" s="606" t="s">
        <v>586</v>
      </c>
      <c r="E21" s="606" t="s">
        <v>586</v>
      </c>
      <c r="F21" s="606" t="s">
        <v>125</v>
      </c>
      <c r="G21" s="606">
        <v>32.1508744301888</v>
      </c>
      <c r="H21" s="606">
        <v>5192.3197090639896</v>
      </c>
      <c r="I21" s="606">
        <v>469.40276668075597</v>
      </c>
      <c r="J21" s="606">
        <v>5.2705780961777998E-3</v>
      </c>
      <c r="K21" s="606">
        <v>1.01199571108276E-4</v>
      </c>
      <c r="L21" s="606">
        <v>6.8068056929090795E-4</v>
      </c>
      <c r="M21" s="606">
        <v>6.0524582365769804E-3</v>
      </c>
      <c r="N21" s="606">
        <v>5.4741181779370802E-5</v>
      </c>
      <c r="O21" s="606">
        <v>2.41674093003501E-8</v>
      </c>
      <c r="P21" s="606">
        <v>0</v>
      </c>
      <c r="Q21" s="606">
        <v>5.4765349188671103E-5</v>
      </c>
      <c r="R21" s="606">
        <v>1.71706582357106E-5</v>
      </c>
      <c r="S21" s="606">
        <v>3.19717656348931E-4</v>
      </c>
      <c r="T21" s="606">
        <v>3.9165366377331301E-4</v>
      </c>
      <c r="U21" s="606">
        <v>5.7216335109037398E-5</v>
      </c>
      <c r="V21" s="606">
        <v>2.52601523076215E-8</v>
      </c>
      <c r="W21" s="606">
        <v>0</v>
      </c>
      <c r="X21" s="606">
        <v>5.7241595261345E-5</v>
      </c>
      <c r="Y21" s="606">
        <v>6.8682632942842402E-5</v>
      </c>
      <c r="Z21" s="606">
        <v>7.4600786481417299E-4</v>
      </c>
      <c r="AA21" s="606">
        <v>8.7193209301836098E-4</v>
      </c>
      <c r="AB21" s="606">
        <v>3.9004828363790498</v>
      </c>
      <c r="AC21" s="606">
        <v>1.71612978436263E-2</v>
      </c>
      <c r="AD21" s="606">
        <v>0</v>
      </c>
      <c r="AE21" s="606">
        <v>3.91764413422267</v>
      </c>
      <c r="AF21" s="606">
        <v>2.0749141574417199E-6</v>
      </c>
      <c r="AG21" s="606">
        <v>8.1205749956649104E-8</v>
      </c>
      <c r="AH21" s="606">
        <v>0</v>
      </c>
      <c r="AI21" s="606">
        <v>2.1561199073983701E-6</v>
      </c>
      <c r="AJ21" s="606">
        <v>6.1310158445716703E-4</v>
      </c>
      <c r="AK21" s="606">
        <v>2.6975170358745201E-6</v>
      </c>
      <c r="AL21" s="606">
        <v>0</v>
      </c>
      <c r="AM21" s="606">
        <v>6.1579910149304204E-4</v>
      </c>
      <c r="AN21" s="606">
        <v>4.4672332823042802E-5</v>
      </c>
      <c r="AO21" s="606">
        <v>1.74833752818041E-6</v>
      </c>
      <c r="AP21" s="606">
        <v>0</v>
      </c>
      <c r="AQ21" s="606">
        <v>4.64206703512232E-5</v>
      </c>
      <c r="AR21" s="606">
        <v>0</v>
      </c>
      <c r="AS21" s="606">
        <v>0</v>
      </c>
      <c r="AT21" s="606">
        <v>0</v>
      </c>
      <c r="AU21" s="606">
        <v>0</v>
      </c>
      <c r="AV21" s="606">
        <v>4.64206703512232E-5</v>
      </c>
      <c r="AW21" s="606">
        <v>5.0856050403490798E-5</v>
      </c>
      <c r="AX21" s="606">
        <v>1.99034919012769E-6</v>
      </c>
      <c r="AY21" s="606">
        <v>0</v>
      </c>
      <c r="AZ21" s="606">
        <v>5.2846399593618497E-5</v>
      </c>
      <c r="BA21" s="606">
        <v>0</v>
      </c>
      <c r="BB21" s="606">
        <v>0</v>
      </c>
      <c r="BC21" s="606">
        <v>0</v>
      </c>
      <c r="BD21" s="606">
        <v>0</v>
      </c>
      <c r="BE21" s="606">
        <v>5.2846399593618497E-5</v>
      </c>
      <c r="BF21" s="606">
        <v>3.7023402383888702E-4</v>
      </c>
      <c r="BG21" s="606">
        <v>7.4033084272066797E-5</v>
      </c>
      <c r="BH21" s="606">
        <v>0</v>
      </c>
      <c r="BI21" s="606">
        <v>4.4426710811095398E-4</v>
      </c>
      <c r="BJ21" s="606">
        <v>3.6849827800907397E-5</v>
      </c>
      <c r="BK21" s="606">
        <v>1.62131432672777E-7</v>
      </c>
      <c r="BL21" s="606">
        <v>0</v>
      </c>
      <c r="BM21" s="606">
        <v>3.7011959233580101E-5</v>
      </c>
      <c r="BN21" s="608">
        <v>0.34915231742997799</v>
      </c>
      <c r="BO21" s="602"/>
    </row>
    <row r="22" spans="1:67">
      <c r="A22" s="607" t="s">
        <v>76</v>
      </c>
      <c r="B22" s="606">
        <v>2050</v>
      </c>
      <c r="C22" s="606" t="s">
        <v>169</v>
      </c>
      <c r="D22" s="606" t="s">
        <v>586</v>
      </c>
      <c r="E22" s="606" t="s">
        <v>586</v>
      </c>
      <c r="F22" s="606" t="s">
        <v>125</v>
      </c>
      <c r="G22" s="606">
        <v>24.585201141631501</v>
      </c>
      <c r="H22" s="606">
        <v>1022.9986411809</v>
      </c>
      <c r="I22" s="606">
        <v>358.94393666782099</v>
      </c>
      <c r="J22" s="606">
        <v>1.0748068091486799E-3</v>
      </c>
      <c r="K22" s="606">
        <v>7.7385509888578495E-5</v>
      </c>
      <c r="L22" s="606">
        <v>5.2050536859988205E-4</v>
      </c>
      <c r="M22" s="606">
        <v>1.6726976876371401E-3</v>
      </c>
      <c r="N22" s="606">
        <v>1.12964603919596E-5</v>
      </c>
      <c r="O22" s="606">
        <v>1.84803875244943E-8</v>
      </c>
      <c r="P22" s="606">
        <v>0</v>
      </c>
      <c r="Q22" s="606">
        <v>1.1314940779484099E-5</v>
      </c>
      <c r="R22" s="606">
        <v>3.38298891970195E-6</v>
      </c>
      <c r="S22" s="606">
        <v>6.2991253684850505E-5</v>
      </c>
      <c r="T22" s="606">
        <v>7.7689183384036493E-5</v>
      </c>
      <c r="U22" s="606">
        <v>1.1807236203583399E-5</v>
      </c>
      <c r="V22" s="606">
        <v>1.9315988642846899E-8</v>
      </c>
      <c r="W22" s="606">
        <v>0</v>
      </c>
      <c r="X22" s="606">
        <v>1.1826552192226201E-5</v>
      </c>
      <c r="Y22" s="606">
        <v>1.35319556788078E-5</v>
      </c>
      <c r="Z22" s="606">
        <v>1.4697959193131699E-4</v>
      </c>
      <c r="AA22" s="606">
        <v>1.72338099802351E-4</v>
      </c>
      <c r="AB22" s="606">
        <v>0.85157521860285501</v>
      </c>
      <c r="AC22" s="606">
        <v>1.31030730307555E-2</v>
      </c>
      <c r="AD22" s="606">
        <v>0</v>
      </c>
      <c r="AE22" s="606">
        <v>0.86467829163361098</v>
      </c>
      <c r="AF22" s="606">
        <v>4.1632818951447899E-7</v>
      </c>
      <c r="AG22" s="606">
        <v>6.2096590899146304E-8</v>
      </c>
      <c r="AH22" s="606">
        <v>0</v>
      </c>
      <c r="AI22" s="606">
        <v>4.7842478041362498E-7</v>
      </c>
      <c r="AJ22" s="606">
        <v>1.3385576548121701E-4</v>
      </c>
      <c r="AK22" s="606">
        <v>2.05962060939922E-6</v>
      </c>
      <c r="AL22" s="606">
        <v>0</v>
      </c>
      <c r="AM22" s="606">
        <v>1.3591538609061701E-4</v>
      </c>
      <c r="AN22" s="606">
        <v>8.9634317539847392E-6</v>
      </c>
      <c r="AO22" s="606">
        <v>1.3369225738202101E-6</v>
      </c>
      <c r="AP22" s="606">
        <v>0</v>
      </c>
      <c r="AQ22" s="606">
        <v>1.03003543278049E-5</v>
      </c>
      <c r="AR22" s="606">
        <v>0</v>
      </c>
      <c r="AS22" s="606">
        <v>0</v>
      </c>
      <c r="AT22" s="606">
        <v>0</v>
      </c>
      <c r="AU22" s="606">
        <v>0</v>
      </c>
      <c r="AV22" s="606">
        <v>1.03003543278049E-5</v>
      </c>
      <c r="AW22" s="606">
        <v>1.02041847439354E-5</v>
      </c>
      <c r="AX22" s="606">
        <v>1.5219845820251101E-6</v>
      </c>
      <c r="AY22" s="606">
        <v>0</v>
      </c>
      <c r="AZ22" s="606">
        <v>1.1726169325960501E-5</v>
      </c>
      <c r="BA22" s="606">
        <v>0</v>
      </c>
      <c r="BB22" s="606">
        <v>0</v>
      </c>
      <c r="BC22" s="606">
        <v>0</v>
      </c>
      <c r="BD22" s="606">
        <v>0</v>
      </c>
      <c r="BE22" s="606">
        <v>1.1726169325960501E-5</v>
      </c>
      <c r="BF22" s="606">
        <v>7.4286862029049094E-5</v>
      </c>
      <c r="BG22" s="606">
        <v>5.6611781179272802E-5</v>
      </c>
      <c r="BH22" s="606">
        <v>0</v>
      </c>
      <c r="BI22" s="606">
        <v>1.30898643208321E-4</v>
      </c>
      <c r="BJ22" s="606">
        <v>8.0452604155455696E-6</v>
      </c>
      <c r="BK22" s="606">
        <v>1.23791336893639E-7</v>
      </c>
      <c r="BL22" s="606">
        <v>0</v>
      </c>
      <c r="BM22" s="606">
        <v>8.16905175243921E-6</v>
      </c>
      <c r="BN22" s="608">
        <v>7.7062749706635306E-2</v>
      </c>
      <c r="BO22" s="602"/>
    </row>
    <row r="23" spans="1:67">
      <c r="A23" s="607" t="s">
        <v>76</v>
      </c>
      <c r="B23" s="606">
        <v>2050</v>
      </c>
      <c r="C23" s="606" t="s">
        <v>168</v>
      </c>
      <c r="D23" s="606" t="s">
        <v>586</v>
      </c>
      <c r="E23" s="606" t="s">
        <v>586</v>
      </c>
      <c r="F23" s="606" t="s">
        <v>125</v>
      </c>
      <c r="G23" s="606">
        <v>32.851006952328802</v>
      </c>
      <c r="H23" s="606">
        <v>2225.90607513849</v>
      </c>
      <c r="I23" s="606">
        <v>148.51812518726501</v>
      </c>
      <c r="J23" s="606">
        <v>6.06792738256291E-3</v>
      </c>
      <c r="K23" s="606">
        <v>1.03439530078877E-4</v>
      </c>
      <c r="L23" s="606">
        <v>4.39300751383984E-4</v>
      </c>
      <c r="M23" s="606">
        <v>6.6106676640257699E-3</v>
      </c>
      <c r="N23" s="606">
        <v>2.54879193696157E-5</v>
      </c>
      <c r="O23" s="606">
        <v>2.4725778631059201E-8</v>
      </c>
      <c r="P23" s="606">
        <v>0</v>
      </c>
      <c r="Q23" s="606">
        <v>2.5512645148246798E-5</v>
      </c>
      <c r="R23" s="606">
        <v>7.3609243310414E-6</v>
      </c>
      <c r="S23" s="606">
        <v>1.3706041104398999E-4</v>
      </c>
      <c r="T23" s="606">
        <v>1.6993398052327901E-4</v>
      </c>
      <c r="U23" s="606">
        <v>2.6640369982542601E-5</v>
      </c>
      <c r="V23" s="606">
        <v>2.58437686217381E-8</v>
      </c>
      <c r="W23" s="606">
        <v>0</v>
      </c>
      <c r="X23" s="606">
        <v>2.6666213751164401E-5</v>
      </c>
      <c r="Y23" s="606">
        <v>2.94436973241656E-5</v>
      </c>
      <c r="Z23" s="606">
        <v>3.1980762576931199E-4</v>
      </c>
      <c r="AA23" s="606">
        <v>3.7591753684464201E-4</v>
      </c>
      <c r="AB23" s="606">
        <v>2.3742252242626098</v>
      </c>
      <c r="AC23" s="606">
        <v>1.81841498006097E-2</v>
      </c>
      <c r="AD23" s="606">
        <v>0</v>
      </c>
      <c r="AE23" s="606">
        <v>2.3924093740632202</v>
      </c>
      <c r="AF23" s="606">
        <v>1.87867851972717E-6</v>
      </c>
      <c r="AG23" s="606">
        <v>8.2973155023398006E-8</v>
      </c>
      <c r="AH23" s="606">
        <v>0</v>
      </c>
      <c r="AI23" s="606">
        <v>1.9616516747505699E-6</v>
      </c>
      <c r="AJ23" s="606">
        <v>3.7319514222113699E-4</v>
      </c>
      <c r="AK23" s="606">
        <v>2.8582951194601498E-6</v>
      </c>
      <c r="AL23" s="606">
        <v>0</v>
      </c>
      <c r="AM23" s="606">
        <v>3.76053437340597E-4</v>
      </c>
      <c r="AN23" s="606">
        <v>4.04474333551366E-5</v>
      </c>
      <c r="AO23" s="606">
        <v>1.78638927460654E-6</v>
      </c>
      <c r="AP23" s="606">
        <v>0</v>
      </c>
      <c r="AQ23" s="606">
        <v>4.22338226297431E-5</v>
      </c>
      <c r="AR23" s="606">
        <v>0</v>
      </c>
      <c r="AS23" s="606">
        <v>0</v>
      </c>
      <c r="AT23" s="606">
        <v>0</v>
      </c>
      <c r="AU23" s="606">
        <v>0</v>
      </c>
      <c r="AV23" s="606">
        <v>4.22338226297431E-5</v>
      </c>
      <c r="AW23" s="606">
        <v>4.6046323964071701E-5</v>
      </c>
      <c r="AX23" s="606">
        <v>2.0336682068858501E-6</v>
      </c>
      <c r="AY23" s="606">
        <v>0</v>
      </c>
      <c r="AZ23" s="606">
        <v>4.80799921709576E-5</v>
      </c>
      <c r="BA23" s="606">
        <v>0</v>
      </c>
      <c r="BB23" s="606">
        <v>0</v>
      </c>
      <c r="BC23" s="606">
        <v>0</v>
      </c>
      <c r="BD23" s="606">
        <v>0</v>
      </c>
      <c r="BE23" s="606">
        <v>4.80799921709576E-5</v>
      </c>
      <c r="BF23" s="606">
        <v>5.0488608140413405E-4</v>
      </c>
      <c r="BG23" s="606">
        <v>7.5638211837419496E-5</v>
      </c>
      <c r="BH23" s="606">
        <v>0</v>
      </c>
      <c r="BI23" s="606">
        <v>5.8052429324155399E-4</v>
      </c>
      <c r="BJ23" s="606">
        <v>2.2430502669733E-5</v>
      </c>
      <c r="BK23" s="606">
        <v>1.7179483078572701E-7</v>
      </c>
      <c r="BL23" s="606">
        <v>0</v>
      </c>
      <c r="BM23" s="606">
        <v>2.2602297500518701E-5</v>
      </c>
      <c r="BN23" s="608">
        <v>0.21321877347114301</v>
      </c>
      <c r="BO23" s="602"/>
    </row>
    <row r="24" spans="1:67">
      <c r="A24" s="607" t="s">
        <v>76</v>
      </c>
      <c r="B24" s="606">
        <v>2050</v>
      </c>
      <c r="C24" s="606" t="s">
        <v>167</v>
      </c>
      <c r="D24" s="606" t="s">
        <v>586</v>
      </c>
      <c r="E24" s="606" t="s">
        <v>586</v>
      </c>
      <c r="F24" s="606" t="s">
        <v>125</v>
      </c>
      <c r="G24" s="606">
        <v>741.23977552748204</v>
      </c>
      <c r="H24" s="606">
        <v>36309.111290855697</v>
      </c>
      <c r="I24" s="606">
        <v>3351.11620582354</v>
      </c>
      <c r="J24" s="606">
        <v>8.2328834235268905E-2</v>
      </c>
      <c r="K24" s="606">
        <v>2.3331829916242901E-3</v>
      </c>
      <c r="L24" s="606">
        <v>9.9325046375983994E-3</v>
      </c>
      <c r="M24" s="606">
        <v>9.4594521864491604E-2</v>
      </c>
      <c r="N24" s="606">
        <v>3.27294827634305E-4</v>
      </c>
      <c r="O24" s="606">
        <v>5.5719597669262504E-7</v>
      </c>
      <c r="P24" s="606">
        <v>0</v>
      </c>
      <c r="Q24" s="606">
        <v>3.2785202361099701E-4</v>
      </c>
      <c r="R24" s="606">
        <v>1.20071832196568E-4</v>
      </c>
      <c r="S24" s="606">
        <v>2.2357375155000899E-3</v>
      </c>
      <c r="T24" s="606">
        <v>2.6836613713076599E-3</v>
      </c>
      <c r="U24" s="606">
        <v>3.4209364739063998E-4</v>
      </c>
      <c r="V24" s="606">
        <v>5.8238990623813796E-7</v>
      </c>
      <c r="W24" s="606">
        <v>0</v>
      </c>
      <c r="X24" s="606">
        <v>3.4267603729687803E-4</v>
      </c>
      <c r="Y24" s="606">
        <v>4.80287328786272E-4</v>
      </c>
      <c r="Z24" s="606">
        <v>5.2167208695002203E-3</v>
      </c>
      <c r="AA24" s="606">
        <v>6.0396842355833697E-3</v>
      </c>
      <c r="AB24" s="606">
        <v>37.308347725279702</v>
      </c>
      <c r="AC24" s="606">
        <v>0.39587621917542298</v>
      </c>
      <c r="AD24" s="606">
        <v>0</v>
      </c>
      <c r="AE24" s="606">
        <v>37.704223944455102</v>
      </c>
      <c r="AF24" s="606">
        <v>2.7408461741937999E-5</v>
      </c>
      <c r="AG24" s="606">
        <v>1.8722033101873899E-6</v>
      </c>
      <c r="AH24" s="606">
        <v>0</v>
      </c>
      <c r="AI24" s="606">
        <v>2.9280665052125401E-5</v>
      </c>
      <c r="AJ24" s="606">
        <v>5.8643527130816603E-3</v>
      </c>
      <c r="AK24" s="606">
        <v>6.2226228753433795E-5</v>
      </c>
      <c r="AL24" s="606">
        <v>0</v>
      </c>
      <c r="AM24" s="606">
        <v>5.9265789418351004E-3</v>
      </c>
      <c r="AN24" s="606">
        <v>5.9009666530644299E-4</v>
      </c>
      <c r="AO24" s="606">
        <v>4.03080238693888E-5</v>
      </c>
      <c r="AP24" s="606">
        <v>0</v>
      </c>
      <c r="AQ24" s="606">
        <v>6.3040468917583195E-4</v>
      </c>
      <c r="AR24" s="606">
        <v>0</v>
      </c>
      <c r="AS24" s="606">
        <v>0</v>
      </c>
      <c r="AT24" s="606">
        <v>0</v>
      </c>
      <c r="AU24" s="606">
        <v>0</v>
      </c>
      <c r="AV24" s="606">
        <v>6.3040468917583195E-4</v>
      </c>
      <c r="AW24" s="606">
        <v>6.7178013453276901E-4</v>
      </c>
      <c r="AX24" s="606">
        <v>4.58876168765776E-5</v>
      </c>
      <c r="AY24" s="606">
        <v>0</v>
      </c>
      <c r="AZ24" s="606">
        <v>7.1766775140934703E-4</v>
      </c>
      <c r="BA24" s="606">
        <v>0</v>
      </c>
      <c r="BB24" s="606">
        <v>0</v>
      </c>
      <c r="BC24" s="606">
        <v>0</v>
      </c>
      <c r="BD24" s="606">
        <v>0</v>
      </c>
      <c r="BE24" s="606">
        <v>7.1766775140934703E-4</v>
      </c>
      <c r="BF24" s="606">
        <v>7.3814487762110699E-3</v>
      </c>
      <c r="BG24" s="606">
        <v>1.7068310732915701E-3</v>
      </c>
      <c r="BH24" s="606">
        <v>0</v>
      </c>
      <c r="BI24" s="606">
        <v>9.08827984950265E-3</v>
      </c>
      <c r="BJ24" s="606">
        <v>3.5247077012886201E-4</v>
      </c>
      <c r="BK24" s="606">
        <v>3.7400422252930899E-6</v>
      </c>
      <c r="BL24" s="606">
        <v>0</v>
      </c>
      <c r="BM24" s="606">
        <v>3.5621081235415501E-4</v>
      </c>
      <c r="BN24" s="608">
        <v>3.3603146983429202</v>
      </c>
      <c r="BO24" s="602"/>
    </row>
    <row r="25" spans="1:67">
      <c r="A25" s="607" t="s">
        <v>76</v>
      </c>
      <c r="B25" s="606">
        <v>2050</v>
      </c>
      <c r="C25" s="606" t="s">
        <v>166</v>
      </c>
      <c r="D25" s="606" t="s">
        <v>586</v>
      </c>
      <c r="E25" s="606" t="s">
        <v>586</v>
      </c>
      <c r="F25" s="606" t="s">
        <v>125</v>
      </c>
      <c r="G25" s="606">
        <v>2304.1550981059499</v>
      </c>
      <c r="H25" s="606">
        <v>230565.72462327301</v>
      </c>
      <c r="I25" s="606">
        <v>26589.630373196</v>
      </c>
      <c r="J25" s="606">
        <v>0.39259517370596397</v>
      </c>
      <c r="K25" s="606">
        <v>7.2526645644300702E-3</v>
      </c>
      <c r="L25" s="606">
        <v>6.2777370078337502E-2</v>
      </c>
      <c r="M25" s="606">
        <v>0.462625208348732</v>
      </c>
      <c r="N25" s="606">
        <v>1.8173116435736599E-3</v>
      </c>
      <c r="O25" s="606">
        <v>1.73200450483324E-6</v>
      </c>
      <c r="P25" s="606">
        <v>0</v>
      </c>
      <c r="Q25" s="606">
        <v>1.8190436480784999E-3</v>
      </c>
      <c r="R25" s="606">
        <v>7.6246561849113497E-4</v>
      </c>
      <c r="S25" s="606">
        <v>1.41971098163049E-2</v>
      </c>
      <c r="T25" s="606">
        <v>1.67786190828745E-2</v>
      </c>
      <c r="U25" s="606">
        <v>1.89948241189508E-3</v>
      </c>
      <c r="V25" s="606">
        <v>1.81031806288564E-6</v>
      </c>
      <c r="W25" s="606">
        <v>0</v>
      </c>
      <c r="X25" s="606">
        <v>1.9012927299579599E-3</v>
      </c>
      <c r="Y25" s="606">
        <v>3.0498624739645399E-3</v>
      </c>
      <c r="Z25" s="606">
        <v>3.3126589571378103E-2</v>
      </c>
      <c r="AA25" s="606">
        <v>3.8077744775300598E-2</v>
      </c>
      <c r="AB25" s="606">
        <v>185.88312433452799</v>
      </c>
      <c r="AC25" s="606">
        <v>1.25227325994546</v>
      </c>
      <c r="AD25" s="606">
        <v>0</v>
      </c>
      <c r="AE25" s="606">
        <v>187.13539759447301</v>
      </c>
      <c r="AF25" s="606">
        <v>1.10354384982945E-4</v>
      </c>
      <c r="AG25" s="606">
        <v>5.8197683911961897E-6</v>
      </c>
      <c r="AH25" s="606">
        <v>0</v>
      </c>
      <c r="AI25" s="606">
        <v>1.16174153374141E-4</v>
      </c>
      <c r="AJ25" s="606">
        <v>2.92182385704703E-2</v>
      </c>
      <c r="AK25" s="606">
        <v>1.9683991753150599E-4</v>
      </c>
      <c r="AL25" s="606">
        <v>0</v>
      </c>
      <c r="AM25" s="606">
        <v>2.9415078488001799E-2</v>
      </c>
      <c r="AN25" s="606">
        <v>2.3758996471056602E-3</v>
      </c>
      <c r="AO25" s="606">
        <v>1.2529801755513899E-4</v>
      </c>
      <c r="AP25" s="606">
        <v>0</v>
      </c>
      <c r="AQ25" s="606">
        <v>2.5011976646608001E-3</v>
      </c>
      <c r="AR25" s="606">
        <v>0</v>
      </c>
      <c r="AS25" s="606">
        <v>0</v>
      </c>
      <c r="AT25" s="606">
        <v>0</v>
      </c>
      <c r="AU25" s="606">
        <v>0</v>
      </c>
      <c r="AV25" s="606">
        <v>2.5011976646608001E-3</v>
      </c>
      <c r="AW25" s="606">
        <v>2.7047808916868502E-3</v>
      </c>
      <c r="AX25" s="606">
        <v>1.42642255139959E-4</v>
      </c>
      <c r="AY25" s="606">
        <v>0</v>
      </c>
      <c r="AZ25" s="606">
        <v>2.8474231468268098E-3</v>
      </c>
      <c r="BA25" s="606">
        <v>0</v>
      </c>
      <c r="BB25" s="606">
        <v>0</v>
      </c>
      <c r="BC25" s="606">
        <v>0</v>
      </c>
      <c r="BD25" s="606">
        <v>0</v>
      </c>
      <c r="BE25" s="606">
        <v>2.8474231468268098E-3</v>
      </c>
      <c r="BF25" s="606">
        <v>2.70351293642981E-2</v>
      </c>
      <c r="BG25" s="606">
        <v>5.3057253209205799E-3</v>
      </c>
      <c r="BH25" s="606">
        <v>0</v>
      </c>
      <c r="BI25" s="606">
        <v>3.2340854685218703E-2</v>
      </c>
      <c r="BJ25" s="606">
        <v>1.7561315893857099E-3</v>
      </c>
      <c r="BK25" s="606">
        <v>1.1830856825794901E-5</v>
      </c>
      <c r="BL25" s="606">
        <v>0</v>
      </c>
      <c r="BM25" s="606">
        <v>1.7679624462114999E-3</v>
      </c>
      <c r="BN25" s="608">
        <v>16.678073736336199</v>
      </c>
      <c r="BO25" s="602"/>
    </row>
    <row r="26" spans="1:67">
      <c r="A26" s="607" t="s">
        <v>76</v>
      </c>
      <c r="B26" s="606">
        <v>2050</v>
      </c>
      <c r="C26" s="606" t="s">
        <v>165</v>
      </c>
      <c r="D26" s="606" t="s">
        <v>586</v>
      </c>
      <c r="E26" s="606" t="s">
        <v>586</v>
      </c>
      <c r="F26" s="606" t="s">
        <v>125</v>
      </c>
      <c r="G26" s="606">
        <v>6647.3889954011702</v>
      </c>
      <c r="H26" s="606">
        <v>294263.405651876</v>
      </c>
      <c r="I26" s="606">
        <v>76709.947381519596</v>
      </c>
      <c r="J26" s="606">
        <v>0.46974191203065802</v>
      </c>
      <c r="K26" s="606">
        <v>2.0923627342863699E-2</v>
      </c>
      <c r="L26" s="606">
        <v>0.18117201384221701</v>
      </c>
      <c r="M26" s="606">
        <v>0.67183755321573901</v>
      </c>
      <c r="N26" s="606">
        <v>2.1333984591866001E-3</v>
      </c>
      <c r="O26" s="606">
        <v>4.99675898331578E-6</v>
      </c>
      <c r="P26" s="606">
        <v>0</v>
      </c>
      <c r="Q26" s="606">
        <v>2.13839521816992E-3</v>
      </c>
      <c r="R26" s="606">
        <v>9.7310964132358495E-4</v>
      </c>
      <c r="S26" s="606">
        <v>1.81193015214451E-2</v>
      </c>
      <c r="T26" s="606">
        <v>2.1230806380938601E-2</v>
      </c>
      <c r="U26" s="606">
        <v>2.2298612706955702E-3</v>
      </c>
      <c r="V26" s="606">
        <v>5.22269025175172E-6</v>
      </c>
      <c r="W26" s="606">
        <v>0</v>
      </c>
      <c r="X26" s="606">
        <v>2.2350839609473201E-3</v>
      </c>
      <c r="Y26" s="606">
        <v>3.8924385652943398E-3</v>
      </c>
      <c r="Z26" s="606">
        <v>4.2278370216705302E-2</v>
      </c>
      <c r="AA26" s="606">
        <v>4.8405892742947002E-2</v>
      </c>
      <c r="AB26" s="606">
        <v>258.09673951094902</v>
      </c>
      <c r="AC26" s="606">
        <v>3.54447424757632</v>
      </c>
      <c r="AD26" s="606">
        <v>0</v>
      </c>
      <c r="AE26" s="606">
        <v>261.641213758525</v>
      </c>
      <c r="AF26" s="606">
        <v>1.3577685487674201E-4</v>
      </c>
      <c r="AG26" s="606">
        <v>1.6789783114522802E-5</v>
      </c>
      <c r="AH26" s="606">
        <v>0</v>
      </c>
      <c r="AI26" s="606">
        <v>1.5256663799126499E-4</v>
      </c>
      <c r="AJ26" s="606">
        <v>4.0569213242402299E-2</v>
      </c>
      <c r="AK26" s="606">
        <v>5.5714199200888003E-4</v>
      </c>
      <c r="AL26" s="606">
        <v>0</v>
      </c>
      <c r="AM26" s="606">
        <v>4.1126355234411202E-2</v>
      </c>
      <c r="AN26" s="606">
        <v>2.9232384525238598E-3</v>
      </c>
      <c r="AO26" s="606">
        <v>3.6147942633127199E-4</v>
      </c>
      <c r="AP26" s="606">
        <v>0</v>
      </c>
      <c r="AQ26" s="606">
        <v>3.2847178788551301E-3</v>
      </c>
      <c r="AR26" s="606">
        <v>0</v>
      </c>
      <c r="AS26" s="606">
        <v>0</v>
      </c>
      <c r="AT26" s="606">
        <v>0</v>
      </c>
      <c r="AU26" s="606">
        <v>0</v>
      </c>
      <c r="AV26" s="606">
        <v>3.2847178788551301E-3</v>
      </c>
      <c r="AW26" s="606">
        <v>3.3278844575202501E-3</v>
      </c>
      <c r="AX26" s="606">
        <v>4.1151681059838497E-4</v>
      </c>
      <c r="AY26" s="606">
        <v>0</v>
      </c>
      <c r="AZ26" s="606">
        <v>3.73940126811864E-3</v>
      </c>
      <c r="BA26" s="606">
        <v>0</v>
      </c>
      <c r="BB26" s="606">
        <v>0</v>
      </c>
      <c r="BC26" s="606">
        <v>0</v>
      </c>
      <c r="BD26" s="606">
        <v>0</v>
      </c>
      <c r="BE26" s="606">
        <v>3.73940126811864E-3</v>
      </c>
      <c r="BF26" s="606">
        <v>3.3263167085644398E-2</v>
      </c>
      <c r="BG26" s="606">
        <v>1.5306790823196101E-2</v>
      </c>
      <c r="BH26" s="606">
        <v>0</v>
      </c>
      <c r="BI26" s="606">
        <v>4.8569957908840597E-2</v>
      </c>
      <c r="BJ26" s="606">
        <v>2.43837001877012E-3</v>
      </c>
      <c r="BK26" s="606">
        <v>3.34864351791869E-5</v>
      </c>
      <c r="BL26" s="606">
        <v>0</v>
      </c>
      <c r="BM26" s="606">
        <v>2.4718564539493101E-3</v>
      </c>
      <c r="BN26" s="608">
        <v>23.318257858330799</v>
      </c>
      <c r="BO26" s="602"/>
    </row>
    <row r="27" spans="1:67">
      <c r="A27" s="607" t="s">
        <v>76</v>
      </c>
      <c r="B27" s="606">
        <v>2050</v>
      </c>
      <c r="C27" s="606" t="s">
        <v>164</v>
      </c>
      <c r="D27" s="606" t="s">
        <v>586</v>
      </c>
      <c r="E27" s="606" t="s">
        <v>586</v>
      </c>
      <c r="F27" s="606" t="s">
        <v>125</v>
      </c>
      <c r="G27" s="606">
        <v>21.0270956828018</v>
      </c>
      <c r="H27" s="606">
        <v>3420.4797244275201</v>
      </c>
      <c r="I27" s="606">
        <v>306.995596968906</v>
      </c>
      <c r="J27" s="606">
        <v>3.4637541766612901E-3</v>
      </c>
      <c r="K27" s="606">
        <v>6.6185853494366101E-5</v>
      </c>
      <c r="L27" s="606">
        <v>4.4517463807857999E-4</v>
      </c>
      <c r="M27" s="606">
        <v>3.9751146682342302E-3</v>
      </c>
      <c r="N27" s="606">
        <v>3.5945361453866101E-5</v>
      </c>
      <c r="O27" s="606">
        <v>1.5805804251679601E-8</v>
      </c>
      <c r="P27" s="606">
        <v>0</v>
      </c>
      <c r="Q27" s="606">
        <v>3.59611672581178E-5</v>
      </c>
      <c r="R27" s="606">
        <v>1.13113004670719E-5</v>
      </c>
      <c r="S27" s="606">
        <v>2.1061641469688E-4</v>
      </c>
      <c r="T27" s="606">
        <v>2.5788888242206999E-4</v>
      </c>
      <c r="U27" s="606">
        <v>3.7570651193630799E-5</v>
      </c>
      <c r="V27" s="606">
        <v>1.6520472582723E-8</v>
      </c>
      <c r="W27" s="606">
        <v>0</v>
      </c>
      <c r="X27" s="606">
        <v>3.7587171666213597E-5</v>
      </c>
      <c r="Y27" s="606">
        <v>4.5245201868287899E-5</v>
      </c>
      <c r="Z27" s="606">
        <v>4.9143830095938704E-4</v>
      </c>
      <c r="AA27" s="606">
        <v>5.7427067449388901E-4</v>
      </c>
      <c r="AB27" s="606">
        <v>2.5692934904530098</v>
      </c>
      <c r="AC27" s="606">
        <v>1.12228684149314E-2</v>
      </c>
      <c r="AD27" s="606">
        <v>0</v>
      </c>
      <c r="AE27" s="606">
        <v>2.5805163588679401</v>
      </c>
      <c r="AF27" s="606">
        <v>1.3651605217068099E-6</v>
      </c>
      <c r="AG27" s="606">
        <v>5.3109630907233602E-8</v>
      </c>
      <c r="AH27" s="606">
        <v>0</v>
      </c>
      <c r="AI27" s="606">
        <v>1.41827015261404E-6</v>
      </c>
      <c r="AJ27" s="606">
        <v>4.0385715718071802E-4</v>
      </c>
      <c r="AK27" s="606">
        <v>1.76407862718257E-6</v>
      </c>
      <c r="AL27" s="606">
        <v>0</v>
      </c>
      <c r="AM27" s="606">
        <v>4.0562123580790098E-4</v>
      </c>
      <c r="AN27" s="606">
        <v>2.93915316755837E-5</v>
      </c>
      <c r="AO27" s="606">
        <v>1.1434357896146E-6</v>
      </c>
      <c r="AP27" s="606">
        <v>0</v>
      </c>
      <c r="AQ27" s="606">
        <v>3.0534967465198302E-5</v>
      </c>
      <c r="AR27" s="606">
        <v>0</v>
      </c>
      <c r="AS27" s="606">
        <v>0</v>
      </c>
      <c r="AT27" s="606">
        <v>0</v>
      </c>
      <c r="AU27" s="606">
        <v>0</v>
      </c>
      <c r="AV27" s="606">
        <v>3.0534967465198302E-5</v>
      </c>
      <c r="AW27" s="606">
        <v>3.3460021491384201E-5</v>
      </c>
      <c r="AX27" s="606">
        <v>1.30171460667038E-6</v>
      </c>
      <c r="AY27" s="606">
        <v>0</v>
      </c>
      <c r="AZ27" s="606">
        <v>3.4761736098054602E-5</v>
      </c>
      <c r="BA27" s="606">
        <v>0</v>
      </c>
      <c r="BB27" s="606">
        <v>0</v>
      </c>
      <c r="BC27" s="606">
        <v>0</v>
      </c>
      <c r="BD27" s="606">
        <v>0</v>
      </c>
      <c r="BE27" s="606">
        <v>3.4761736098054602E-5</v>
      </c>
      <c r="BF27" s="606">
        <v>2.4359025713857E-4</v>
      </c>
      <c r="BG27" s="606">
        <v>4.84186130010816E-5</v>
      </c>
      <c r="BH27" s="606">
        <v>0</v>
      </c>
      <c r="BI27" s="606">
        <v>2.9200887013965202E-4</v>
      </c>
      <c r="BJ27" s="606">
        <v>2.4273410924960901E-5</v>
      </c>
      <c r="BK27" s="606">
        <v>1.06028095974494E-7</v>
      </c>
      <c r="BL27" s="606">
        <v>0</v>
      </c>
      <c r="BM27" s="606">
        <v>2.4379439020935401E-5</v>
      </c>
      <c r="BN27" s="608">
        <v>0.22998343800399401</v>
      </c>
      <c r="BO27" s="602"/>
    </row>
    <row r="28" spans="1:67">
      <c r="A28" s="607" t="s">
        <v>76</v>
      </c>
      <c r="B28" s="606">
        <v>2050</v>
      </c>
      <c r="C28" s="606" t="s">
        <v>163</v>
      </c>
      <c r="D28" s="606" t="s">
        <v>586</v>
      </c>
      <c r="E28" s="606" t="s">
        <v>586</v>
      </c>
      <c r="F28" s="606" t="s">
        <v>125</v>
      </c>
      <c r="G28" s="606">
        <v>10.980362981805801</v>
      </c>
      <c r="H28" s="606">
        <v>448.997845594696</v>
      </c>
      <c r="I28" s="606">
        <v>160.313299534365</v>
      </c>
      <c r="J28" s="606">
        <v>4.7560865832713502E-4</v>
      </c>
      <c r="K28" s="606">
        <v>3.4562295553882399E-5</v>
      </c>
      <c r="L28" s="606">
        <v>2.3246321592341099E-4</v>
      </c>
      <c r="M28" s="606">
        <v>7.4263416980442903E-4</v>
      </c>
      <c r="N28" s="606">
        <v>5.0105199954538499E-6</v>
      </c>
      <c r="O28" s="606">
        <v>8.2538012153891197E-9</v>
      </c>
      <c r="P28" s="606">
        <v>0</v>
      </c>
      <c r="Q28" s="606">
        <v>5.0187737966692402E-6</v>
      </c>
      <c r="R28" s="606">
        <v>1.4848062113391401E-6</v>
      </c>
      <c r="S28" s="606">
        <v>2.7647091655134899E-5</v>
      </c>
      <c r="T28" s="606">
        <v>3.4150671663143299E-5</v>
      </c>
      <c r="U28" s="606">
        <v>5.2370734757950902E-6</v>
      </c>
      <c r="V28" s="606">
        <v>8.6270014806485601E-9</v>
      </c>
      <c r="W28" s="606">
        <v>0</v>
      </c>
      <c r="X28" s="606">
        <v>5.2457004772757299E-6</v>
      </c>
      <c r="Y28" s="606">
        <v>5.9392248453565797E-6</v>
      </c>
      <c r="Z28" s="606">
        <v>6.4509880528648098E-5</v>
      </c>
      <c r="AA28" s="606">
        <v>7.5694805851280397E-5</v>
      </c>
      <c r="AB28" s="606">
        <v>0.37425078791274702</v>
      </c>
      <c r="AC28" s="606">
        <v>5.8654060557516898E-3</v>
      </c>
      <c r="AD28" s="606">
        <v>0</v>
      </c>
      <c r="AE28" s="606">
        <v>0.38011619396849899</v>
      </c>
      <c r="AF28" s="606">
        <v>1.8350115536088699E-7</v>
      </c>
      <c r="AG28" s="606">
        <v>2.7733883651280101E-8</v>
      </c>
      <c r="AH28" s="606">
        <v>0</v>
      </c>
      <c r="AI28" s="606">
        <v>2.11235039012167E-7</v>
      </c>
      <c r="AJ28" s="606">
        <v>5.8827012110802898E-5</v>
      </c>
      <c r="AK28" s="606">
        <v>9.2196015137561803E-7</v>
      </c>
      <c r="AL28" s="606">
        <v>0</v>
      </c>
      <c r="AM28" s="606">
        <v>5.97489722621785E-5</v>
      </c>
      <c r="AN28" s="606">
        <v>3.9507295549043301E-6</v>
      </c>
      <c r="AO28" s="606">
        <v>5.9710290977679902E-7</v>
      </c>
      <c r="AP28" s="606">
        <v>0</v>
      </c>
      <c r="AQ28" s="606">
        <v>4.5478324646811296E-6</v>
      </c>
      <c r="AR28" s="606">
        <v>0</v>
      </c>
      <c r="AS28" s="606">
        <v>0</v>
      </c>
      <c r="AT28" s="606">
        <v>0</v>
      </c>
      <c r="AU28" s="606">
        <v>0</v>
      </c>
      <c r="AV28" s="606">
        <v>4.5478324646811296E-6</v>
      </c>
      <c r="AW28" s="606">
        <v>4.4976048636335903E-6</v>
      </c>
      <c r="AX28" s="606">
        <v>6.7975621053791199E-7</v>
      </c>
      <c r="AY28" s="606">
        <v>0</v>
      </c>
      <c r="AZ28" s="606">
        <v>5.1773610741715003E-6</v>
      </c>
      <c r="BA28" s="606">
        <v>0</v>
      </c>
      <c r="BB28" s="606">
        <v>0</v>
      </c>
      <c r="BC28" s="606">
        <v>0</v>
      </c>
      <c r="BD28" s="606">
        <v>0</v>
      </c>
      <c r="BE28" s="606">
        <v>5.1773610741715003E-6</v>
      </c>
      <c r="BF28" s="606">
        <v>3.2742738073238397E-5</v>
      </c>
      <c r="BG28" s="606">
        <v>2.52842310629852E-5</v>
      </c>
      <c r="BH28" s="606">
        <v>0</v>
      </c>
      <c r="BI28" s="606">
        <v>5.80269691362236E-5</v>
      </c>
      <c r="BJ28" s="606">
        <v>3.5357358735979899E-6</v>
      </c>
      <c r="BK28" s="606">
        <v>5.5413448079032798E-8</v>
      </c>
      <c r="BL28" s="606">
        <v>0</v>
      </c>
      <c r="BM28" s="606">
        <v>3.5911493216770299E-6</v>
      </c>
      <c r="BN28" s="608">
        <v>3.3877107126040203E-2</v>
      </c>
      <c r="BO28" s="602"/>
    </row>
    <row r="29" spans="1:67">
      <c r="A29" s="607" t="s">
        <v>76</v>
      </c>
      <c r="B29" s="606">
        <v>2050</v>
      </c>
      <c r="C29" s="606" t="s">
        <v>162</v>
      </c>
      <c r="D29" s="606" t="s">
        <v>586</v>
      </c>
      <c r="E29" s="606" t="s">
        <v>586</v>
      </c>
      <c r="F29" s="606" t="s">
        <v>125</v>
      </c>
      <c r="G29" s="606">
        <v>440.40312233429199</v>
      </c>
      <c r="H29" s="606">
        <v>6831.2502965145604</v>
      </c>
      <c r="I29" s="606">
        <v>1335.8894697447899</v>
      </c>
      <c r="J29" s="606">
        <v>9.4156431162336907E-3</v>
      </c>
      <c r="K29" s="606">
        <v>7.3236100583104896E-3</v>
      </c>
      <c r="L29" s="606">
        <v>4.6027663340444903E-3</v>
      </c>
      <c r="M29" s="606">
        <v>2.1342019508588599E-2</v>
      </c>
      <c r="N29" s="606">
        <v>3.0592580561360801E-5</v>
      </c>
      <c r="O29" s="606">
        <v>1.7760002257904E-6</v>
      </c>
      <c r="P29" s="606">
        <v>0</v>
      </c>
      <c r="Q29" s="606">
        <v>3.23685807871512E-5</v>
      </c>
      <c r="R29" s="606">
        <v>2.2590493408810698E-5</v>
      </c>
      <c r="S29" s="606">
        <v>4.2063498727205602E-4</v>
      </c>
      <c r="T29" s="606">
        <v>4.7559406146801799E-4</v>
      </c>
      <c r="U29" s="606">
        <v>3.1975841301779901E-5</v>
      </c>
      <c r="V29" s="606">
        <v>1.85630307511636E-6</v>
      </c>
      <c r="W29" s="606">
        <v>0</v>
      </c>
      <c r="X29" s="606">
        <v>3.3832144376896198E-5</v>
      </c>
      <c r="Y29" s="606">
        <v>9.0361973635242902E-5</v>
      </c>
      <c r="Z29" s="606">
        <v>9.8148163696812991E-4</v>
      </c>
      <c r="AA29" s="606">
        <v>1.1056757549802599E-3</v>
      </c>
      <c r="AB29" s="606">
        <v>6.4063787064569198</v>
      </c>
      <c r="AC29" s="606">
        <v>1.2428361700872801</v>
      </c>
      <c r="AD29" s="606">
        <v>0</v>
      </c>
      <c r="AE29" s="606">
        <v>7.6492148765441996</v>
      </c>
      <c r="AF29" s="606">
        <v>3.4542670752806701E-6</v>
      </c>
      <c r="AG29" s="606">
        <v>5.8194606293169599E-6</v>
      </c>
      <c r="AH29" s="606">
        <v>0</v>
      </c>
      <c r="AI29" s="606">
        <v>9.2737277045976296E-6</v>
      </c>
      <c r="AJ29" s="606">
        <v>1.0069935185787499E-3</v>
      </c>
      <c r="AK29" s="606">
        <v>1.9535653842501401E-4</v>
      </c>
      <c r="AL29" s="606">
        <v>0</v>
      </c>
      <c r="AM29" s="606">
        <v>1.20235005700377E-3</v>
      </c>
      <c r="AN29" s="606">
        <v>7.4369422895487094E-5</v>
      </c>
      <c r="AO29" s="606">
        <v>1.25291391526274E-4</v>
      </c>
      <c r="AP29" s="606">
        <v>0</v>
      </c>
      <c r="AQ29" s="606">
        <v>1.9966081442176101E-4</v>
      </c>
      <c r="AR29" s="606">
        <v>0</v>
      </c>
      <c r="AS29" s="606">
        <v>0</v>
      </c>
      <c r="AT29" s="606">
        <v>0</v>
      </c>
      <c r="AU29" s="606">
        <v>0</v>
      </c>
      <c r="AV29" s="606">
        <v>1.9966081442176101E-4</v>
      </c>
      <c r="AW29" s="606">
        <v>8.4663926870201994E-5</v>
      </c>
      <c r="AX29" s="606">
        <v>1.4263471191047799E-4</v>
      </c>
      <c r="AY29" s="606">
        <v>0</v>
      </c>
      <c r="AZ29" s="606">
        <v>2.2729863878068001E-4</v>
      </c>
      <c r="BA29" s="606">
        <v>0</v>
      </c>
      <c r="BB29" s="606">
        <v>0</v>
      </c>
      <c r="BC29" s="606">
        <v>0</v>
      </c>
      <c r="BD29" s="606">
        <v>0</v>
      </c>
      <c r="BE29" s="606">
        <v>2.2729863878068001E-4</v>
      </c>
      <c r="BF29" s="606">
        <v>8.4766226215689895E-4</v>
      </c>
      <c r="BG29" s="606">
        <v>5.27752771906638E-3</v>
      </c>
      <c r="BH29" s="606">
        <v>0</v>
      </c>
      <c r="BI29" s="606">
        <v>6.1251899812232802E-3</v>
      </c>
      <c r="BJ29" s="606">
        <v>6.0524289443994202E-5</v>
      </c>
      <c r="BK29" s="606">
        <v>1.1741699880154201E-5</v>
      </c>
      <c r="BL29" s="606">
        <v>0</v>
      </c>
      <c r="BM29" s="606">
        <v>7.2265989324148496E-5</v>
      </c>
      <c r="BN29" s="608">
        <v>0.68172121028935495</v>
      </c>
      <c r="BO29" s="602"/>
    </row>
    <row r="30" spans="1:67">
      <c r="A30" s="607" t="s">
        <v>76</v>
      </c>
      <c r="B30" s="606">
        <v>2050</v>
      </c>
      <c r="C30" s="606" t="s">
        <v>161</v>
      </c>
      <c r="D30" s="606" t="s">
        <v>586</v>
      </c>
      <c r="E30" s="606" t="s">
        <v>586</v>
      </c>
      <c r="F30" s="606" t="s">
        <v>125</v>
      </c>
      <c r="G30" s="606">
        <v>99.604034666288896</v>
      </c>
      <c r="H30" s="606">
        <v>1659.23072644731</v>
      </c>
      <c r="I30" s="606">
        <v>1145.44639866232</v>
      </c>
      <c r="J30" s="606">
        <v>1.71084718186723E-3</v>
      </c>
      <c r="K30" s="606">
        <v>8.6165076251254902E-4</v>
      </c>
      <c r="L30" s="606">
        <v>2.4908570831183698E-3</v>
      </c>
      <c r="M30" s="606">
        <v>5.0633550274981603E-3</v>
      </c>
      <c r="N30" s="606">
        <v>5.9239429165436101E-6</v>
      </c>
      <c r="O30" s="606">
        <v>2.0577030538320601E-7</v>
      </c>
      <c r="P30" s="606">
        <v>0</v>
      </c>
      <c r="Q30" s="606">
        <v>6.1297132219268196E-6</v>
      </c>
      <c r="R30" s="606">
        <v>5.4869663915884803E-6</v>
      </c>
      <c r="S30" s="606">
        <v>1.02167314211377E-4</v>
      </c>
      <c r="T30" s="606">
        <v>1.13783993824892E-4</v>
      </c>
      <c r="U30" s="606">
        <v>6.1917973281223499E-6</v>
      </c>
      <c r="V30" s="606">
        <v>2.1507432550042799E-7</v>
      </c>
      <c r="W30" s="606">
        <v>0</v>
      </c>
      <c r="X30" s="606">
        <v>6.40687165362277E-6</v>
      </c>
      <c r="Y30" s="606">
        <v>2.1947865566353901E-5</v>
      </c>
      <c r="Z30" s="606">
        <v>2.3839039982654701E-4</v>
      </c>
      <c r="AA30" s="606">
        <v>2.6674513704652401E-4</v>
      </c>
      <c r="AB30" s="606">
        <v>1.4385277352441399</v>
      </c>
      <c r="AC30" s="606">
        <v>0.14523758805366299</v>
      </c>
      <c r="AD30" s="606">
        <v>0</v>
      </c>
      <c r="AE30" s="606">
        <v>1.5837653232978</v>
      </c>
      <c r="AF30" s="606">
        <v>6.1713083471066395E-7</v>
      </c>
      <c r="AG30" s="606">
        <v>6.91415937876714E-7</v>
      </c>
      <c r="AH30" s="606">
        <v>0</v>
      </c>
      <c r="AI30" s="606">
        <v>1.30854677258737E-6</v>
      </c>
      <c r="AJ30" s="606">
        <v>2.2611652730217301E-4</v>
      </c>
      <c r="AK30" s="606">
        <v>2.2829326289537501E-5</v>
      </c>
      <c r="AL30" s="606">
        <v>0</v>
      </c>
      <c r="AM30" s="606">
        <v>2.4894585359171102E-4</v>
      </c>
      <c r="AN30" s="606">
        <v>1.3286657640597499E-5</v>
      </c>
      <c r="AO30" s="606">
        <v>1.48859955411684E-5</v>
      </c>
      <c r="AP30" s="606">
        <v>0</v>
      </c>
      <c r="AQ30" s="606">
        <v>2.8172653181765902E-5</v>
      </c>
      <c r="AR30" s="606">
        <v>0</v>
      </c>
      <c r="AS30" s="606">
        <v>0</v>
      </c>
      <c r="AT30" s="606">
        <v>0</v>
      </c>
      <c r="AU30" s="606">
        <v>0</v>
      </c>
      <c r="AV30" s="606">
        <v>2.8172653181765902E-5</v>
      </c>
      <c r="AW30" s="606">
        <v>1.5125848326318199E-5</v>
      </c>
      <c r="AX30" s="606">
        <v>1.69465727824562E-5</v>
      </c>
      <c r="AY30" s="606">
        <v>0</v>
      </c>
      <c r="AZ30" s="606">
        <v>3.2072421108774398E-5</v>
      </c>
      <c r="BA30" s="606">
        <v>0</v>
      </c>
      <c r="BB30" s="606">
        <v>0</v>
      </c>
      <c r="BC30" s="606">
        <v>0</v>
      </c>
      <c r="BD30" s="606">
        <v>0</v>
      </c>
      <c r="BE30" s="606">
        <v>3.2072421108774398E-5</v>
      </c>
      <c r="BF30" s="606">
        <v>1.5550299691965001E-4</v>
      </c>
      <c r="BG30" s="606">
        <v>6.3034519628478198E-4</v>
      </c>
      <c r="BH30" s="606">
        <v>0</v>
      </c>
      <c r="BI30" s="606">
        <v>7.8584819320443304E-4</v>
      </c>
      <c r="BJ30" s="606">
        <v>1.35904967549572E-5</v>
      </c>
      <c r="BK30" s="606">
        <v>1.3721327165138901E-6</v>
      </c>
      <c r="BL30" s="606">
        <v>0</v>
      </c>
      <c r="BM30" s="606">
        <v>1.4962629471471101E-5</v>
      </c>
      <c r="BN30" s="608">
        <v>0.14114996511912201</v>
      </c>
      <c r="BO30" s="602"/>
    </row>
    <row r="31" spans="1:67">
      <c r="A31" s="607" t="s">
        <v>76</v>
      </c>
      <c r="B31" s="606">
        <v>2050</v>
      </c>
      <c r="C31" s="606" t="s">
        <v>159</v>
      </c>
      <c r="D31" s="606" t="s">
        <v>586</v>
      </c>
      <c r="E31" s="606" t="s">
        <v>586</v>
      </c>
      <c r="F31" s="606" t="s">
        <v>125</v>
      </c>
      <c r="G31" s="606">
        <v>90.281064606295601</v>
      </c>
      <c r="H31" s="606">
        <v>18605.527352720099</v>
      </c>
      <c r="I31" s="606">
        <v>1318.10354325191</v>
      </c>
      <c r="J31" s="606">
        <v>4.1974430608675402E-2</v>
      </c>
      <c r="K31" s="606">
        <v>1.2270605336924E-2</v>
      </c>
      <c r="L31" s="606">
        <v>3.2462668515798299E-3</v>
      </c>
      <c r="M31" s="606">
        <v>5.7491302797179303E-2</v>
      </c>
      <c r="N31" s="606">
        <v>5.5043448417033299E-4</v>
      </c>
      <c r="O31" s="606">
        <v>4.2280379605906298E-6</v>
      </c>
      <c r="P31" s="606">
        <v>0</v>
      </c>
      <c r="Q31" s="606">
        <v>5.5466252213092295E-4</v>
      </c>
      <c r="R31" s="606">
        <v>1.8458174921954799E-4</v>
      </c>
      <c r="S31" s="606">
        <v>5.4267034270547205E-4</v>
      </c>
      <c r="T31" s="606">
        <v>1.2819146140559401E-3</v>
      </c>
      <c r="U31" s="606">
        <v>5.7532268902766703E-4</v>
      </c>
      <c r="V31" s="606">
        <v>4.4192110755279501E-6</v>
      </c>
      <c r="W31" s="606">
        <v>0</v>
      </c>
      <c r="X31" s="606">
        <v>5.7974190010319504E-4</v>
      </c>
      <c r="Y31" s="606">
        <v>7.3832699687819304E-4</v>
      </c>
      <c r="Z31" s="606">
        <v>1.2662307996460999E-3</v>
      </c>
      <c r="AA31" s="606">
        <v>2.58429969662749E-3</v>
      </c>
      <c r="AB31" s="606">
        <v>19.313440241084201</v>
      </c>
      <c r="AC31" s="606">
        <v>1.93952731068777</v>
      </c>
      <c r="AD31" s="606">
        <v>0</v>
      </c>
      <c r="AE31" s="606">
        <v>21.252967551771999</v>
      </c>
      <c r="AF31" s="606">
        <v>1.9031292238862298E-5</v>
      </c>
      <c r="AG31" s="606">
        <v>4.8230590052921803E-5</v>
      </c>
      <c r="AH31" s="606">
        <v>0</v>
      </c>
      <c r="AI31" s="606">
        <v>6.7261882291784098E-5</v>
      </c>
      <c r="AJ31" s="606">
        <v>3.0358038504074199E-3</v>
      </c>
      <c r="AK31" s="606">
        <v>3.0486668373204E-4</v>
      </c>
      <c r="AL31" s="606">
        <v>0</v>
      </c>
      <c r="AM31" s="606">
        <v>3.3406705341394601E-3</v>
      </c>
      <c r="AN31" s="606">
        <v>4.0973850310765302E-4</v>
      </c>
      <c r="AO31" s="606">
        <v>1.03839137796059E-3</v>
      </c>
      <c r="AP31" s="606">
        <v>0</v>
      </c>
      <c r="AQ31" s="606">
        <v>1.4481298810682401E-3</v>
      </c>
      <c r="AR31" s="606">
        <v>0</v>
      </c>
      <c r="AS31" s="606">
        <v>0</v>
      </c>
      <c r="AT31" s="606">
        <v>0</v>
      </c>
      <c r="AU31" s="606">
        <v>0</v>
      </c>
      <c r="AV31" s="606">
        <v>1.4481298810682401E-3</v>
      </c>
      <c r="AW31" s="606">
        <v>4.6645609596518E-4</v>
      </c>
      <c r="AX31" s="606">
        <v>1.18212954011828E-3</v>
      </c>
      <c r="AY31" s="606">
        <v>0</v>
      </c>
      <c r="AZ31" s="606">
        <v>1.6485856360834599E-3</v>
      </c>
      <c r="BA31" s="606">
        <v>0</v>
      </c>
      <c r="BB31" s="606">
        <v>0</v>
      </c>
      <c r="BC31" s="606">
        <v>0</v>
      </c>
      <c r="BD31" s="606">
        <v>0</v>
      </c>
      <c r="BE31" s="606">
        <v>1.6485856360834599E-3</v>
      </c>
      <c r="BF31" s="606">
        <v>3.80763044831088E-3</v>
      </c>
      <c r="BG31" s="606">
        <v>1.53430837699098E-2</v>
      </c>
      <c r="BH31" s="606">
        <v>0</v>
      </c>
      <c r="BI31" s="606">
        <v>1.9150714218220701E-2</v>
      </c>
      <c r="BJ31" s="606">
        <v>1.8246380691364899E-4</v>
      </c>
      <c r="BK31" s="606">
        <v>1.8323692325319998E-5</v>
      </c>
      <c r="BL31" s="606">
        <v>0</v>
      </c>
      <c r="BM31" s="606">
        <v>2.00787499238969E-4</v>
      </c>
      <c r="BN31" s="608">
        <v>1.89412887407082</v>
      </c>
      <c r="BO31" s="602"/>
    </row>
    <row r="32" spans="1:67">
      <c r="A32" s="607" t="s">
        <v>76</v>
      </c>
      <c r="B32" s="606">
        <v>2050</v>
      </c>
      <c r="C32" s="606" t="s">
        <v>158</v>
      </c>
      <c r="D32" s="606" t="s">
        <v>586</v>
      </c>
      <c r="E32" s="606" t="s">
        <v>586</v>
      </c>
      <c r="F32" s="606" t="s">
        <v>125</v>
      </c>
      <c r="G32" s="606">
        <v>9.2546749225567293</v>
      </c>
      <c r="H32" s="606">
        <v>1598.88766968558</v>
      </c>
      <c r="I32" s="606">
        <v>41.840025503945299</v>
      </c>
      <c r="J32" s="606">
        <v>7.0565024527166403E-3</v>
      </c>
      <c r="K32" s="606">
        <v>1.92206844908795E-4</v>
      </c>
      <c r="L32" s="606">
        <v>2.1063210474379801E-4</v>
      </c>
      <c r="M32" s="606">
        <v>7.4593414023692399E-3</v>
      </c>
      <c r="N32" s="606">
        <v>3.5474251098147699E-5</v>
      </c>
      <c r="O32" s="606">
        <v>6.6228015183109204E-8</v>
      </c>
      <c r="P32" s="606">
        <v>0</v>
      </c>
      <c r="Q32" s="606">
        <v>3.5540479113330798E-5</v>
      </c>
      <c r="R32" s="606">
        <v>1.58622476687276E-5</v>
      </c>
      <c r="S32" s="606">
        <v>4.66350081460591E-5</v>
      </c>
      <c r="T32" s="606">
        <v>9.80377349281176E-5</v>
      </c>
      <c r="U32" s="606">
        <v>3.7078239318148103E-5</v>
      </c>
      <c r="V32" s="606">
        <v>6.9222552147224597E-8</v>
      </c>
      <c r="W32" s="606">
        <v>0</v>
      </c>
      <c r="X32" s="606">
        <v>3.7147461870295301E-5</v>
      </c>
      <c r="Y32" s="606">
        <v>6.3448990674910399E-5</v>
      </c>
      <c r="Z32" s="606">
        <v>1.0881501900747101E-4</v>
      </c>
      <c r="AA32" s="606">
        <v>2.0941147155267701E-4</v>
      </c>
      <c r="AB32" s="606">
        <v>2.2527861405277201</v>
      </c>
      <c r="AC32" s="606">
        <v>3.0358528105854699E-2</v>
      </c>
      <c r="AD32" s="606">
        <v>0</v>
      </c>
      <c r="AE32" s="606">
        <v>2.2831446686335699</v>
      </c>
      <c r="AF32" s="606">
        <v>2.90167018067536E-6</v>
      </c>
      <c r="AG32" s="606">
        <v>7.5548428847810296E-7</v>
      </c>
      <c r="AH32" s="606">
        <v>0</v>
      </c>
      <c r="AI32" s="606">
        <v>3.6571544691534601E-6</v>
      </c>
      <c r="AJ32" s="606">
        <v>3.5410660939682399E-4</v>
      </c>
      <c r="AK32" s="606">
        <v>4.7719378508446196E-6</v>
      </c>
      <c r="AL32" s="606">
        <v>0</v>
      </c>
      <c r="AM32" s="606">
        <v>3.5887854724766898E-4</v>
      </c>
      <c r="AN32" s="606">
        <v>6.2472163288745095E-5</v>
      </c>
      <c r="AO32" s="606">
        <v>1.62653695606784E-5</v>
      </c>
      <c r="AP32" s="606">
        <v>0</v>
      </c>
      <c r="AQ32" s="606">
        <v>7.8737532849423603E-5</v>
      </c>
      <c r="AR32" s="606">
        <v>0</v>
      </c>
      <c r="AS32" s="606">
        <v>0</v>
      </c>
      <c r="AT32" s="606">
        <v>0</v>
      </c>
      <c r="AU32" s="606">
        <v>0</v>
      </c>
      <c r="AV32" s="606">
        <v>7.8737532849423603E-5</v>
      </c>
      <c r="AW32" s="606">
        <v>7.1119802442659298E-5</v>
      </c>
      <c r="AX32" s="606">
        <v>1.85168851039404E-5</v>
      </c>
      <c r="AY32" s="606">
        <v>0</v>
      </c>
      <c r="AZ32" s="606">
        <v>8.9636687546599807E-5</v>
      </c>
      <c r="BA32" s="606">
        <v>0</v>
      </c>
      <c r="BB32" s="606">
        <v>0</v>
      </c>
      <c r="BC32" s="606">
        <v>0</v>
      </c>
      <c r="BD32" s="606">
        <v>0</v>
      </c>
      <c r="BE32" s="606">
        <v>8.9636687546599807E-5</v>
      </c>
      <c r="BF32" s="606">
        <v>8.7039233485151002E-4</v>
      </c>
      <c r="BG32" s="606">
        <v>2.40334167843506E-4</v>
      </c>
      <c r="BH32" s="606">
        <v>0</v>
      </c>
      <c r="BI32" s="606">
        <v>1.11072650269501E-3</v>
      </c>
      <c r="BJ32" s="606">
        <v>2.1283206421639499E-5</v>
      </c>
      <c r="BK32" s="606">
        <v>2.8681232040192403E-7</v>
      </c>
      <c r="BL32" s="606">
        <v>0</v>
      </c>
      <c r="BM32" s="606">
        <v>2.1570018742041398E-5</v>
      </c>
      <c r="BN32" s="608">
        <v>0.20348077180304699</v>
      </c>
      <c r="BO32" s="602"/>
    </row>
    <row r="33" spans="1:67">
      <c r="A33" s="607" t="s">
        <v>76</v>
      </c>
      <c r="B33" s="606">
        <v>2050</v>
      </c>
      <c r="C33" s="606" t="s">
        <v>157</v>
      </c>
      <c r="D33" s="606" t="s">
        <v>586</v>
      </c>
      <c r="E33" s="606" t="s">
        <v>586</v>
      </c>
      <c r="F33" s="606" t="s">
        <v>125</v>
      </c>
      <c r="G33" s="606">
        <v>141.355000056373</v>
      </c>
      <c r="H33" s="606">
        <v>22735.2774258682</v>
      </c>
      <c r="I33" s="606">
        <v>2063.7830008230499</v>
      </c>
      <c r="J33" s="606">
        <v>4.68166083093116E-2</v>
      </c>
      <c r="K33" s="606">
        <v>2.3845115337638501E-2</v>
      </c>
      <c r="L33" s="606">
        <v>5.0827491521787402E-3</v>
      </c>
      <c r="M33" s="606">
        <v>7.5744472799128895E-2</v>
      </c>
      <c r="N33" s="606">
        <v>5.9174905339186496E-4</v>
      </c>
      <c r="O33" s="606">
        <v>8.2162248767647693E-6</v>
      </c>
      <c r="P33" s="606">
        <v>0</v>
      </c>
      <c r="Q33" s="606">
        <v>5.99965278268629E-4</v>
      </c>
      <c r="R33" s="606">
        <v>2.2555218117184601E-4</v>
      </c>
      <c r="S33" s="606">
        <v>6.6312341264522805E-4</v>
      </c>
      <c r="T33" s="606">
        <v>1.4886408720856999E-3</v>
      </c>
      <c r="U33" s="606">
        <v>6.1850531973871E-4</v>
      </c>
      <c r="V33" s="606">
        <v>8.5877261067341595E-6</v>
      </c>
      <c r="W33" s="606">
        <v>0</v>
      </c>
      <c r="X33" s="606">
        <v>6.2709304584544496E-4</v>
      </c>
      <c r="Y33" s="606">
        <v>9.0220872468738599E-4</v>
      </c>
      <c r="Z33" s="606">
        <v>1.5472879628388599E-3</v>
      </c>
      <c r="AA33" s="606">
        <v>3.07658973337169E-3</v>
      </c>
      <c r="AB33" s="606">
        <v>23.7807400439556</v>
      </c>
      <c r="AC33" s="606">
        <v>3.8200523419538901</v>
      </c>
      <c r="AD33" s="606">
        <v>0</v>
      </c>
      <c r="AE33" s="606">
        <v>27.6007923859095</v>
      </c>
      <c r="AF33" s="606">
        <v>2.18626107631825E-5</v>
      </c>
      <c r="AG33" s="606">
        <v>9.3725122032372395E-5</v>
      </c>
      <c r="AH33" s="606">
        <v>0</v>
      </c>
      <c r="AI33" s="606">
        <v>1.15587732795554E-4</v>
      </c>
      <c r="AJ33" s="606">
        <v>3.7380011686061702E-3</v>
      </c>
      <c r="AK33" s="606">
        <v>6.0045903079411597E-4</v>
      </c>
      <c r="AL33" s="606">
        <v>0</v>
      </c>
      <c r="AM33" s="606">
        <v>4.3384601994002903E-3</v>
      </c>
      <c r="AN33" s="606">
        <v>4.7069601452702899E-4</v>
      </c>
      <c r="AO33" s="606">
        <v>2.0178761758861E-3</v>
      </c>
      <c r="AP33" s="606">
        <v>0</v>
      </c>
      <c r="AQ33" s="606">
        <v>2.4885721904131298E-3</v>
      </c>
      <c r="AR33" s="606">
        <v>0</v>
      </c>
      <c r="AS33" s="606">
        <v>0</v>
      </c>
      <c r="AT33" s="606">
        <v>0</v>
      </c>
      <c r="AU33" s="606">
        <v>0</v>
      </c>
      <c r="AV33" s="606">
        <v>2.4885721904131298E-3</v>
      </c>
      <c r="AW33" s="606">
        <v>5.3585158255181403E-4</v>
      </c>
      <c r="AX33" s="606">
        <v>2.2971984229113898E-3</v>
      </c>
      <c r="AY33" s="606">
        <v>0</v>
      </c>
      <c r="AZ33" s="606">
        <v>2.8330500054632099E-3</v>
      </c>
      <c r="BA33" s="606">
        <v>0</v>
      </c>
      <c r="BB33" s="606">
        <v>0</v>
      </c>
      <c r="BC33" s="606">
        <v>0</v>
      </c>
      <c r="BD33" s="606">
        <v>0</v>
      </c>
      <c r="BE33" s="606">
        <v>2.8330500054632099E-3</v>
      </c>
      <c r="BF33" s="606">
        <v>4.3740985166967799E-3</v>
      </c>
      <c r="BG33" s="606">
        <v>2.98157745345808E-2</v>
      </c>
      <c r="BH33" s="606">
        <v>0</v>
      </c>
      <c r="BI33" s="606">
        <v>3.4189873051277603E-2</v>
      </c>
      <c r="BJ33" s="606">
        <v>2.24668640360284E-4</v>
      </c>
      <c r="BK33" s="606">
        <v>3.6089960370684297E-5</v>
      </c>
      <c r="BL33" s="606">
        <v>0</v>
      </c>
      <c r="BM33" s="606">
        <v>2.6075860073096902E-4</v>
      </c>
      <c r="BN33" s="608">
        <v>2.4598662599955898</v>
      </c>
      <c r="BO33" s="602"/>
    </row>
    <row r="34" spans="1:67">
      <c r="A34" s="607" t="s">
        <v>76</v>
      </c>
      <c r="B34" s="606">
        <v>2050</v>
      </c>
      <c r="C34" s="606" t="s">
        <v>156</v>
      </c>
      <c r="D34" s="606" t="s">
        <v>586</v>
      </c>
      <c r="E34" s="606" t="s">
        <v>586</v>
      </c>
      <c r="F34" s="606" t="s">
        <v>125</v>
      </c>
      <c r="G34" s="606">
        <v>35.886220924612502</v>
      </c>
      <c r="H34" s="606">
        <v>7309.2054039881696</v>
      </c>
      <c r="I34" s="606">
        <v>523.93882549934301</v>
      </c>
      <c r="J34" s="606">
        <v>1.6520391671149E-2</v>
      </c>
      <c r="K34" s="606">
        <v>6.0536314713883497E-3</v>
      </c>
      <c r="L34" s="606">
        <v>1.2903641014067901E-3</v>
      </c>
      <c r="M34" s="606">
        <v>2.3864387243944199E-2</v>
      </c>
      <c r="N34" s="606">
        <v>2.16774669201428E-4</v>
      </c>
      <c r="O34" s="606">
        <v>2.0858778322400299E-6</v>
      </c>
      <c r="P34" s="606">
        <v>0</v>
      </c>
      <c r="Q34" s="606">
        <v>2.1886054703366801E-4</v>
      </c>
      <c r="R34" s="606">
        <v>7.2513178116172394E-5</v>
      </c>
      <c r="S34" s="606">
        <v>2.1318874366154701E-4</v>
      </c>
      <c r="T34" s="606">
        <v>5.0456246881138702E-4</v>
      </c>
      <c r="U34" s="606">
        <v>2.2657625781936799E-4</v>
      </c>
      <c r="V34" s="606">
        <v>2.1801919718681301E-6</v>
      </c>
      <c r="W34" s="606">
        <v>0</v>
      </c>
      <c r="X34" s="606">
        <v>2.2875644979123601E-4</v>
      </c>
      <c r="Y34" s="606">
        <v>2.9005271246468898E-4</v>
      </c>
      <c r="Z34" s="606">
        <v>4.97440401876943E-4</v>
      </c>
      <c r="AA34" s="606">
        <v>1.0162495641328601E-3</v>
      </c>
      <c r="AB34" s="606">
        <v>7.5896396143945699</v>
      </c>
      <c r="AC34" s="606">
        <v>0.95725087024288702</v>
      </c>
      <c r="AD34" s="606">
        <v>0</v>
      </c>
      <c r="AE34" s="606">
        <v>8.5468904846374603</v>
      </c>
      <c r="AF34" s="606">
        <v>7.4857074410804702E-6</v>
      </c>
      <c r="AG34" s="606">
        <v>2.3794279891752099E-5</v>
      </c>
      <c r="AH34" s="606">
        <v>0</v>
      </c>
      <c r="AI34" s="606">
        <v>3.1279987332832601E-5</v>
      </c>
      <c r="AJ34" s="606">
        <v>1.1929856554282201E-3</v>
      </c>
      <c r="AK34" s="606">
        <v>1.5046650629893499E-4</v>
      </c>
      <c r="AL34" s="606">
        <v>0</v>
      </c>
      <c r="AM34" s="606">
        <v>1.3434521617271601E-3</v>
      </c>
      <c r="AN34" s="606">
        <v>1.61165228462357E-4</v>
      </c>
      <c r="AO34" s="606">
        <v>5.12284321159363E-4</v>
      </c>
      <c r="AP34" s="606">
        <v>0</v>
      </c>
      <c r="AQ34" s="606">
        <v>6.7344954962172E-4</v>
      </c>
      <c r="AR34" s="606">
        <v>0</v>
      </c>
      <c r="AS34" s="606">
        <v>0</v>
      </c>
      <c r="AT34" s="606">
        <v>0</v>
      </c>
      <c r="AU34" s="606">
        <v>0</v>
      </c>
      <c r="AV34" s="606">
        <v>6.7344954962172E-4</v>
      </c>
      <c r="AW34" s="606">
        <v>1.8347434449951001E-4</v>
      </c>
      <c r="AX34" s="606">
        <v>5.8319670389723099E-4</v>
      </c>
      <c r="AY34" s="606">
        <v>0</v>
      </c>
      <c r="AZ34" s="606">
        <v>7.6667104839674204E-4</v>
      </c>
      <c r="BA34" s="606">
        <v>0</v>
      </c>
      <c r="BB34" s="606">
        <v>0</v>
      </c>
      <c r="BC34" s="606">
        <v>0</v>
      </c>
      <c r="BD34" s="606">
        <v>0</v>
      </c>
      <c r="BE34" s="606">
        <v>7.6667104839674204E-4</v>
      </c>
      <c r="BF34" s="606">
        <v>1.49768114216854E-3</v>
      </c>
      <c r="BG34" s="606">
        <v>7.5694207602114497E-3</v>
      </c>
      <c r="BH34" s="606">
        <v>0</v>
      </c>
      <c r="BI34" s="606">
        <v>9.0671019023799895E-3</v>
      </c>
      <c r="BJ34" s="606">
        <v>7.1703151787489696E-5</v>
      </c>
      <c r="BK34" s="606">
        <v>9.04363157343506E-6</v>
      </c>
      <c r="BL34" s="606">
        <v>0</v>
      </c>
      <c r="BM34" s="606">
        <v>8.0746783360924701E-5</v>
      </c>
      <c r="BN34" s="608">
        <v>0.76172478083528306</v>
      </c>
      <c r="BO34" s="602"/>
    </row>
    <row r="35" spans="1:67">
      <c r="A35" s="607" t="s">
        <v>76</v>
      </c>
      <c r="B35" s="606">
        <v>2050</v>
      </c>
      <c r="C35" s="606" t="s">
        <v>155</v>
      </c>
      <c r="D35" s="606" t="s">
        <v>586</v>
      </c>
      <c r="E35" s="606" t="s">
        <v>586</v>
      </c>
      <c r="F35" s="606" t="s">
        <v>125</v>
      </c>
      <c r="G35" s="606">
        <v>12.7509588223548</v>
      </c>
      <c r="H35" s="606">
        <v>2159.1208617806901</v>
      </c>
      <c r="I35" s="606">
        <v>96.907287049896496</v>
      </c>
      <c r="J35" s="606">
        <v>9.3556534167062201E-3</v>
      </c>
      <c r="K35" s="606">
        <v>2.7272455629287701E-4</v>
      </c>
      <c r="L35" s="606">
        <v>1.9082373848286499E-4</v>
      </c>
      <c r="M35" s="606">
        <v>9.8192017114819598E-3</v>
      </c>
      <c r="N35" s="606">
        <v>3.5246547986166902E-5</v>
      </c>
      <c r="O35" s="606">
        <v>9.3971710859423394E-8</v>
      </c>
      <c r="P35" s="606">
        <v>0</v>
      </c>
      <c r="Q35" s="606">
        <v>3.5340519697026303E-5</v>
      </c>
      <c r="R35" s="606">
        <v>2.1420210128343001E-5</v>
      </c>
      <c r="S35" s="606">
        <v>6.2975417777328505E-5</v>
      </c>
      <c r="T35" s="606">
        <v>1.19736147602697E-4</v>
      </c>
      <c r="U35" s="606">
        <v>3.6840240481861102E-5</v>
      </c>
      <c r="V35" s="606">
        <v>9.8220694631195405E-8</v>
      </c>
      <c r="W35" s="606">
        <v>0</v>
      </c>
      <c r="X35" s="606">
        <v>3.6938461176492297E-5</v>
      </c>
      <c r="Y35" s="606">
        <v>8.5680840513372098E-5</v>
      </c>
      <c r="Z35" s="606">
        <v>1.4694264148043301E-4</v>
      </c>
      <c r="AA35" s="606">
        <v>2.6956194317029699E-4</v>
      </c>
      <c r="AB35" s="606">
        <v>2.7394752937177498</v>
      </c>
      <c r="AC35" s="606">
        <v>4.2652675560045303E-2</v>
      </c>
      <c r="AD35" s="606">
        <v>0</v>
      </c>
      <c r="AE35" s="606">
        <v>2.7821279692777998</v>
      </c>
      <c r="AF35" s="606">
        <v>3.1861753940394599E-6</v>
      </c>
      <c r="AG35" s="606">
        <v>1.0719655559571601E-6</v>
      </c>
      <c r="AH35" s="606">
        <v>0</v>
      </c>
      <c r="AI35" s="606">
        <v>4.2581409499966301E-6</v>
      </c>
      <c r="AJ35" s="606">
        <v>4.3060736673278802E-4</v>
      </c>
      <c r="AK35" s="606">
        <v>6.7044066245597601E-6</v>
      </c>
      <c r="AL35" s="606">
        <v>0</v>
      </c>
      <c r="AM35" s="606">
        <v>4.3731177335734801E-4</v>
      </c>
      <c r="AN35" s="606">
        <v>6.8597482514944904E-5</v>
      </c>
      <c r="AO35" s="606">
        <v>2.3079124463442601E-5</v>
      </c>
      <c r="AP35" s="606">
        <v>0</v>
      </c>
      <c r="AQ35" s="606">
        <v>9.1676606978387604E-5</v>
      </c>
      <c r="AR35" s="606">
        <v>0</v>
      </c>
      <c r="AS35" s="606">
        <v>0</v>
      </c>
      <c r="AT35" s="606">
        <v>0</v>
      </c>
      <c r="AU35" s="606">
        <v>0</v>
      </c>
      <c r="AV35" s="606">
        <v>9.1676606978387604E-5</v>
      </c>
      <c r="AW35" s="606">
        <v>7.8093012114494804E-5</v>
      </c>
      <c r="AX35" s="606">
        <v>2.6273826388933301E-5</v>
      </c>
      <c r="AY35" s="606">
        <v>0</v>
      </c>
      <c r="AZ35" s="606">
        <v>1.04366838503428E-4</v>
      </c>
      <c r="BA35" s="606">
        <v>0</v>
      </c>
      <c r="BB35" s="606">
        <v>0</v>
      </c>
      <c r="BC35" s="606">
        <v>0</v>
      </c>
      <c r="BD35" s="606">
        <v>0</v>
      </c>
      <c r="BE35" s="606">
        <v>1.04366838503428E-4</v>
      </c>
      <c r="BF35" s="606">
        <v>9.7926144357429008E-4</v>
      </c>
      <c r="BG35" s="606">
        <v>3.4101298170853398E-4</v>
      </c>
      <c r="BH35" s="606">
        <v>0</v>
      </c>
      <c r="BI35" s="606">
        <v>1.32027442528282E-3</v>
      </c>
      <c r="BJ35" s="606">
        <v>2.5881204218309999E-5</v>
      </c>
      <c r="BK35" s="606">
        <v>4.0296132955035501E-7</v>
      </c>
      <c r="BL35" s="606">
        <v>0</v>
      </c>
      <c r="BM35" s="606">
        <v>2.6284165547860401E-5</v>
      </c>
      <c r="BN35" s="608">
        <v>0.247951675695741</v>
      </c>
      <c r="BO35" s="602"/>
    </row>
    <row r="36" spans="1:67">
      <c r="A36" s="607" t="s">
        <v>76</v>
      </c>
      <c r="B36" s="606">
        <v>2050</v>
      </c>
      <c r="C36" s="606" t="s">
        <v>154</v>
      </c>
      <c r="D36" s="606" t="s">
        <v>586</v>
      </c>
      <c r="E36" s="606" t="s">
        <v>586</v>
      </c>
      <c r="F36" s="606" t="s">
        <v>125</v>
      </c>
      <c r="G36" s="606">
        <v>129.2673157351</v>
      </c>
      <c r="H36" s="606">
        <v>21971.229154578901</v>
      </c>
      <c r="I36" s="606">
        <v>982.43159958676597</v>
      </c>
      <c r="J36" s="606">
        <v>9.6261351606294607E-2</v>
      </c>
      <c r="K36" s="606">
        <v>4.4145740119628796E-3</v>
      </c>
      <c r="L36" s="606">
        <v>1.93454255447602E-3</v>
      </c>
      <c r="M36" s="606">
        <v>0.102610468172733</v>
      </c>
      <c r="N36" s="606">
        <v>3.6399700541158098E-4</v>
      </c>
      <c r="O36" s="606">
        <v>1.52111375029317E-6</v>
      </c>
      <c r="P36" s="606">
        <v>0</v>
      </c>
      <c r="Q36" s="606">
        <v>3.65518119161874E-4</v>
      </c>
      <c r="R36" s="606">
        <v>2.1797220970803599E-4</v>
      </c>
      <c r="S36" s="606">
        <v>6.4083829654162699E-4</v>
      </c>
      <c r="T36" s="606">
        <v>1.2243286254115301E-3</v>
      </c>
      <c r="U36" s="606">
        <v>3.8045533478350298E-4</v>
      </c>
      <c r="V36" s="606">
        <v>1.5898917642391301E-6</v>
      </c>
      <c r="W36" s="606">
        <v>0</v>
      </c>
      <c r="X36" s="606">
        <v>3.8204522654774299E-4</v>
      </c>
      <c r="Y36" s="606">
        <v>8.7188883883214505E-4</v>
      </c>
      <c r="Z36" s="606">
        <v>1.49528935859712E-3</v>
      </c>
      <c r="AA36" s="606">
        <v>2.74922342397701E-3</v>
      </c>
      <c r="AB36" s="606">
        <v>27.885111641224999</v>
      </c>
      <c r="AC36" s="606">
        <v>0.69043384758959603</v>
      </c>
      <c r="AD36" s="606">
        <v>0</v>
      </c>
      <c r="AE36" s="606">
        <v>28.575545488814601</v>
      </c>
      <c r="AF36" s="606">
        <v>3.26764618370431E-5</v>
      </c>
      <c r="AG36" s="606">
        <v>1.7351834207279399E-5</v>
      </c>
      <c r="AH36" s="606">
        <v>0</v>
      </c>
      <c r="AI36" s="606">
        <v>5.0028296044322597E-5</v>
      </c>
      <c r="AJ36" s="606">
        <v>4.3831512269571302E-3</v>
      </c>
      <c r="AK36" s="606">
        <v>1.08526585983649E-4</v>
      </c>
      <c r="AL36" s="606">
        <v>0</v>
      </c>
      <c r="AM36" s="606">
        <v>4.4916778129407801E-3</v>
      </c>
      <c r="AN36" s="606">
        <v>7.0351526275363205E-4</v>
      </c>
      <c r="AO36" s="606">
        <v>3.73580232231664E-4</v>
      </c>
      <c r="AP36" s="606">
        <v>0</v>
      </c>
      <c r="AQ36" s="606">
        <v>1.0770954949852901E-3</v>
      </c>
      <c r="AR36" s="606">
        <v>0</v>
      </c>
      <c r="AS36" s="606">
        <v>0</v>
      </c>
      <c r="AT36" s="606">
        <v>0</v>
      </c>
      <c r="AU36" s="606">
        <v>0</v>
      </c>
      <c r="AV36" s="606">
        <v>1.0770954949852901E-3</v>
      </c>
      <c r="AW36" s="606">
        <v>8.0089857415659399E-4</v>
      </c>
      <c r="AX36" s="606">
        <v>4.2529265698704199E-4</v>
      </c>
      <c r="AY36" s="606">
        <v>0</v>
      </c>
      <c r="AZ36" s="606">
        <v>1.22619123114363E-3</v>
      </c>
      <c r="BA36" s="606">
        <v>0</v>
      </c>
      <c r="BB36" s="606">
        <v>0</v>
      </c>
      <c r="BC36" s="606">
        <v>0</v>
      </c>
      <c r="BD36" s="606">
        <v>0</v>
      </c>
      <c r="BE36" s="606">
        <v>1.22619123114363E-3</v>
      </c>
      <c r="BF36" s="606">
        <v>1.0043012396566501E-2</v>
      </c>
      <c r="BG36" s="606">
        <v>5.51995415174789E-3</v>
      </c>
      <c r="BH36" s="606">
        <v>0</v>
      </c>
      <c r="BI36" s="606">
        <v>1.55629665483144E-2</v>
      </c>
      <c r="BJ36" s="606">
        <v>2.6344470807674101E-4</v>
      </c>
      <c r="BK36" s="606">
        <v>6.5228766434500099E-6</v>
      </c>
      <c r="BL36" s="606">
        <v>0</v>
      </c>
      <c r="BM36" s="606">
        <v>2.6996758472019102E-4</v>
      </c>
      <c r="BN36" s="608">
        <v>2.5467392104579201</v>
      </c>
      <c r="BO36" s="602"/>
    </row>
    <row r="37" spans="1:67">
      <c r="A37" s="607" t="s">
        <v>76</v>
      </c>
      <c r="B37" s="606">
        <v>2050</v>
      </c>
      <c r="C37" s="606" t="s">
        <v>153</v>
      </c>
      <c r="D37" s="606" t="s">
        <v>586</v>
      </c>
      <c r="E37" s="606" t="s">
        <v>586</v>
      </c>
      <c r="F37" s="606" t="s">
        <v>125</v>
      </c>
      <c r="G37" s="606">
        <v>218.77468998072899</v>
      </c>
      <c r="H37" s="606">
        <v>4432.8749751242904</v>
      </c>
      <c r="I37" s="606">
        <v>663.616558944595</v>
      </c>
      <c r="J37" s="606">
        <v>1.0817095832276399E-2</v>
      </c>
      <c r="K37" s="606">
        <v>3.67074738668015E-3</v>
      </c>
      <c r="L37" s="606">
        <v>3.77666895973783E-3</v>
      </c>
      <c r="M37" s="606">
        <v>1.8264512178694299E-2</v>
      </c>
      <c r="N37" s="606">
        <v>3.8389009160800497E-5</v>
      </c>
      <c r="O37" s="606">
        <v>1.3803210712529499E-6</v>
      </c>
      <c r="P37" s="606">
        <v>0</v>
      </c>
      <c r="Q37" s="606">
        <v>3.9769330232053398E-5</v>
      </c>
      <c r="R37" s="606">
        <v>4.39776740249385E-5</v>
      </c>
      <c r="S37" s="606">
        <v>1.2929436163331901E-4</v>
      </c>
      <c r="T37" s="606">
        <v>2.1304136589031099E-4</v>
      </c>
      <c r="U37" s="606">
        <v>4.0124789806346603E-5</v>
      </c>
      <c r="V37" s="606">
        <v>1.4427330650109701E-6</v>
      </c>
      <c r="W37" s="606">
        <v>0</v>
      </c>
      <c r="X37" s="606">
        <v>4.1567522871357597E-5</v>
      </c>
      <c r="Y37" s="606">
        <v>1.75910696099754E-4</v>
      </c>
      <c r="Z37" s="606">
        <v>3.0168684381107799E-4</v>
      </c>
      <c r="AA37" s="606">
        <v>5.1916506278218996E-4</v>
      </c>
      <c r="AB37" s="606">
        <v>5.9256492415853099</v>
      </c>
      <c r="AC37" s="606">
        <v>0.57228006164892498</v>
      </c>
      <c r="AD37" s="606">
        <v>0</v>
      </c>
      <c r="AE37" s="606">
        <v>6.4979293032342298</v>
      </c>
      <c r="AF37" s="606">
        <v>6.2238951727955703E-6</v>
      </c>
      <c r="AG37" s="606">
        <v>1.3440860711439301E-5</v>
      </c>
      <c r="AH37" s="606">
        <v>0</v>
      </c>
      <c r="AI37" s="606">
        <v>1.9664755884234901E-5</v>
      </c>
      <c r="AJ37" s="606">
        <v>9.31429541252906E-4</v>
      </c>
      <c r="AK37" s="606">
        <v>8.9954456222123095E-5</v>
      </c>
      <c r="AL37" s="606">
        <v>0</v>
      </c>
      <c r="AM37" s="606">
        <v>1.02138399747502E-3</v>
      </c>
      <c r="AN37" s="606">
        <v>1.33998756342604E-4</v>
      </c>
      <c r="AO37" s="606">
        <v>2.89378045340385E-4</v>
      </c>
      <c r="AP37" s="606">
        <v>0</v>
      </c>
      <c r="AQ37" s="606">
        <v>4.2337680168298898E-4</v>
      </c>
      <c r="AR37" s="606">
        <v>0</v>
      </c>
      <c r="AS37" s="606">
        <v>0</v>
      </c>
      <c r="AT37" s="606">
        <v>0</v>
      </c>
      <c r="AU37" s="606">
        <v>0</v>
      </c>
      <c r="AV37" s="606">
        <v>4.2337680168298898E-4</v>
      </c>
      <c r="AW37" s="606">
        <v>1.5254738393803799E-4</v>
      </c>
      <c r="AX37" s="606">
        <v>3.29434876790298E-4</v>
      </c>
      <c r="AY37" s="606">
        <v>0</v>
      </c>
      <c r="AZ37" s="606">
        <v>4.81982260728336E-4</v>
      </c>
      <c r="BA37" s="606">
        <v>0</v>
      </c>
      <c r="BB37" s="606">
        <v>0</v>
      </c>
      <c r="BC37" s="606">
        <v>0</v>
      </c>
      <c r="BD37" s="606">
        <v>0</v>
      </c>
      <c r="BE37" s="606">
        <v>4.81982260728336E-4</v>
      </c>
      <c r="BF37" s="606">
        <v>1.30362257811605E-3</v>
      </c>
      <c r="BG37" s="606">
        <v>4.1983750940918704E-3</v>
      </c>
      <c r="BH37" s="606">
        <v>0</v>
      </c>
      <c r="BI37" s="606">
        <v>5.5019976722079202E-3</v>
      </c>
      <c r="BJ37" s="606">
        <v>5.5982595827471E-5</v>
      </c>
      <c r="BK37" s="606">
        <v>5.4066182599159097E-6</v>
      </c>
      <c r="BL37" s="606">
        <v>0</v>
      </c>
      <c r="BM37" s="606">
        <v>6.1389214087386902E-5</v>
      </c>
      <c r="BN37" s="608">
        <v>0.57911515109336498</v>
      </c>
      <c r="BO37" s="602"/>
    </row>
    <row r="38" spans="1:67">
      <c r="A38" s="607" t="s">
        <v>76</v>
      </c>
      <c r="B38" s="606">
        <v>2050</v>
      </c>
      <c r="C38" s="606" t="s">
        <v>152</v>
      </c>
      <c r="D38" s="606" t="s">
        <v>586</v>
      </c>
      <c r="E38" s="606" t="s">
        <v>586</v>
      </c>
      <c r="F38" s="606" t="s">
        <v>125</v>
      </c>
      <c r="G38" s="606">
        <v>165.564302275437</v>
      </c>
      <c r="H38" s="606">
        <v>13185.1225157423</v>
      </c>
      <c r="I38" s="606">
        <v>1910.5890936416199</v>
      </c>
      <c r="J38" s="606">
        <v>3.2107081094811703E-2</v>
      </c>
      <c r="K38" s="606">
        <v>4.7146185231807204E-3</v>
      </c>
      <c r="L38" s="606">
        <v>7.6544072647392802E-3</v>
      </c>
      <c r="M38" s="606">
        <v>4.4476106882731702E-2</v>
      </c>
      <c r="N38" s="606">
        <v>1.9129543225052199E-4</v>
      </c>
      <c r="O38" s="606">
        <v>1.6244989988985099E-6</v>
      </c>
      <c r="P38" s="606">
        <v>0</v>
      </c>
      <c r="Q38" s="606">
        <v>1.9291993124942E-4</v>
      </c>
      <c r="R38" s="606">
        <v>1.3080698716523901E-4</v>
      </c>
      <c r="S38" s="606">
        <v>3.8457254226580498E-4</v>
      </c>
      <c r="T38" s="606">
        <v>7.0829946068046601E-4</v>
      </c>
      <c r="U38" s="606">
        <v>1.99944962835982E-4</v>
      </c>
      <c r="V38" s="606">
        <v>1.69795163502116E-6</v>
      </c>
      <c r="W38" s="606">
        <v>0</v>
      </c>
      <c r="X38" s="606">
        <v>2.01642914471003E-4</v>
      </c>
      <c r="Y38" s="606">
        <v>5.2322794866095895E-4</v>
      </c>
      <c r="Z38" s="606">
        <v>8.9733593195354599E-4</v>
      </c>
      <c r="AA38" s="606">
        <v>1.6222067950855E-3</v>
      </c>
      <c r="AB38" s="606">
        <v>16.264759108452299</v>
      </c>
      <c r="AC38" s="606">
        <v>0.77225782389818598</v>
      </c>
      <c r="AD38" s="606">
        <v>0</v>
      </c>
      <c r="AE38" s="606">
        <v>17.037016932350401</v>
      </c>
      <c r="AF38" s="606">
        <v>1.24366904663772E-5</v>
      </c>
      <c r="AG38" s="606">
        <v>1.8531183018591201E-5</v>
      </c>
      <c r="AH38" s="606">
        <v>0</v>
      </c>
      <c r="AI38" s="606">
        <v>3.09678734849684E-5</v>
      </c>
      <c r="AJ38" s="606">
        <v>2.5565936317421501E-3</v>
      </c>
      <c r="AK38" s="606">
        <v>1.21388175593399E-4</v>
      </c>
      <c r="AL38" s="606">
        <v>0</v>
      </c>
      <c r="AM38" s="606">
        <v>2.6779818073355498E-3</v>
      </c>
      <c r="AN38" s="606">
        <v>2.6775853532956003E-4</v>
      </c>
      <c r="AO38" s="606">
        <v>3.98971288736062E-4</v>
      </c>
      <c r="AP38" s="606">
        <v>0</v>
      </c>
      <c r="AQ38" s="606">
        <v>6.6672982406562197E-4</v>
      </c>
      <c r="AR38" s="606">
        <v>0</v>
      </c>
      <c r="AS38" s="606">
        <v>0</v>
      </c>
      <c r="AT38" s="606">
        <v>0</v>
      </c>
      <c r="AU38" s="606">
        <v>0</v>
      </c>
      <c r="AV38" s="606">
        <v>6.6672982406562197E-4</v>
      </c>
      <c r="AW38" s="606">
        <v>3.04822710347937E-4</v>
      </c>
      <c r="AX38" s="606">
        <v>4.5419844201735702E-4</v>
      </c>
      <c r="AY38" s="606">
        <v>0</v>
      </c>
      <c r="AZ38" s="606">
        <v>7.5902115236529402E-4</v>
      </c>
      <c r="BA38" s="606">
        <v>0</v>
      </c>
      <c r="BB38" s="606">
        <v>0</v>
      </c>
      <c r="BC38" s="606">
        <v>0</v>
      </c>
      <c r="BD38" s="606">
        <v>0</v>
      </c>
      <c r="BE38" s="606">
        <v>7.5902115236529402E-4</v>
      </c>
      <c r="BF38" s="606">
        <v>3.27367709526787E-3</v>
      </c>
      <c r="BG38" s="606">
        <v>5.8951278244324798E-3</v>
      </c>
      <c r="BH38" s="606">
        <v>0</v>
      </c>
      <c r="BI38" s="606">
        <v>9.1688049197003497E-3</v>
      </c>
      <c r="BJ38" s="606">
        <v>1.5366137924762799E-4</v>
      </c>
      <c r="BK38" s="606">
        <v>7.2959089995560001E-6</v>
      </c>
      <c r="BL38" s="606">
        <v>0</v>
      </c>
      <c r="BM38" s="606">
        <v>1.60957288247184E-4</v>
      </c>
      <c r="BN38" s="608">
        <v>1.51839057867981</v>
      </c>
      <c r="BO38" s="602"/>
    </row>
    <row r="39" spans="1:67">
      <c r="A39" s="607" t="s">
        <v>76</v>
      </c>
      <c r="B39" s="606">
        <v>2050</v>
      </c>
      <c r="C39" s="606" t="s">
        <v>151</v>
      </c>
      <c r="D39" s="606" t="s">
        <v>586</v>
      </c>
      <c r="E39" s="606" t="s">
        <v>586</v>
      </c>
      <c r="F39" s="606" t="s">
        <v>125</v>
      </c>
      <c r="G39" s="606">
        <v>52.029547172747897</v>
      </c>
      <c r="H39" s="606">
        <v>3966.5462246146399</v>
      </c>
      <c r="I39" s="606">
        <v>235.22355986385</v>
      </c>
      <c r="J39" s="606">
        <v>1.41800556108857E-2</v>
      </c>
      <c r="K39" s="606">
        <v>1.08063238739098E-3</v>
      </c>
      <c r="L39" s="606">
        <v>1.1834632391673301E-3</v>
      </c>
      <c r="M39" s="606">
        <v>1.6444151237443999E-2</v>
      </c>
      <c r="N39" s="606">
        <v>6.5045184242796094E-5</v>
      </c>
      <c r="O39" s="606">
        <v>3.7240498483160398E-7</v>
      </c>
      <c r="P39" s="606">
        <v>0</v>
      </c>
      <c r="Q39" s="606">
        <v>6.5417589227627696E-5</v>
      </c>
      <c r="R39" s="606">
        <v>3.93513189182743E-5</v>
      </c>
      <c r="S39" s="606">
        <v>1.15692877619726E-4</v>
      </c>
      <c r="T39" s="606">
        <v>2.2046178576562799E-4</v>
      </c>
      <c r="U39" s="606">
        <v>6.7986238840525099E-5</v>
      </c>
      <c r="V39" s="606">
        <v>3.8924348572304299E-7</v>
      </c>
      <c r="W39" s="606">
        <v>0</v>
      </c>
      <c r="X39" s="606">
        <v>6.8375482326248096E-5</v>
      </c>
      <c r="Y39" s="606">
        <v>1.5740527567309701E-4</v>
      </c>
      <c r="Z39" s="606">
        <v>2.6995004777936198E-4</v>
      </c>
      <c r="AA39" s="606">
        <v>4.9573080577870699E-4</v>
      </c>
      <c r="AB39" s="606">
        <v>5.7088647103236001</v>
      </c>
      <c r="AC39" s="606">
        <v>0.173504026471069</v>
      </c>
      <c r="AD39" s="606">
        <v>0</v>
      </c>
      <c r="AE39" s="606">
        <v>5.8823687367946702</v>
      </c>
      <c r="AF39" s="606">
        <v>6.2623600078304902E-6</v>
      </c>
      <c r="AG39" s="606">
        <v>4.2471491748360302E-6</v>
      </c>
      <c r="AH39" s="606">
        <v>0</v>
      </c>
      <c r="AI39" s="606">
        <v>1.05095091826665E-5</v>
      </c>
      <c r="AJ39" s="606">
        <v>8.9735403184091104E-4</v>
      </c>
      <c r="AK39" s="606">
        <v>2.72724167754224E-5</v>
      </c>
      <c r="AL39" s="606">
        <v>0</v>
      </c>
      <c r="AM39" s="606">
        <v>9.24626448616333E-4</v>
      </c>
      <c r="AN39" s="606">
        <v>1.34826893693009E-4</v>
      </c>
      <c r="AO39" s="606">
        <v>9.1439957073364194E-5</v>
      </c>
      <c r="AP39" s="606">
        <v>0</v>
      </c>
      <c r="AQ39" s="606">
        <v>2.2626685076637399E-4</v>
      </c>
      <c r="AR39" s="606">
        <v>0</v>
      </c>
      <c r="AS39" s="606">
        <v>0</v>
      </c>
      <c r="AT39" s="606">
        <v>0</v>
      </c>
      <c r="AU39" s="606">
        <v>0</v>
      </c>
      <c r="AV39" s="606">
        <v>2.2626685076637399E-4</v>
      </c>
      <c r="AW39" s="606">
        <v>1.5349015527259301E-4</v>
      </c>
      <c r="AX39" s="606">
        <v>1.04097430600654E-4</v>
      </c>
      <c r="AY39" s="606">
        <v>0</v>
      </c>
      <c r="AZ39" s="606">
        <v>2.5758758587324801E-4</v>
      </c>
      <c r="BA39" s="606">
        <v>0</v>
      </c>
      <c r="BB39" s="606">
        <v>0</v>
      </c>
      <c r="BC39" s="606">
        <v>0</v>
      </c>
      <c r="BD39" s="606">
        <v>0</v>
      </c>
      <c r="BE39" s="606">
        <v>2.5758758587324801E-4</v>
      </c>
      <c r="BF39" s="606">
        <v>1.87657848504007E-3</v>
      </c>
      <c r="BG39" s="606">
        <v>1.3510803258381099E-3</v>
      </c>
      <c r="BH39" s="606">
        <v>0</v>
      </c>
      <c r="BI39" s="606">
        <v>3.2276588108781901E-3</v>
      </c>
      <c r="BJ39" s="606">
        <v>5.3934523067763598E-5</v>
      </c>
      <c r="BK39" s="606">
        <v>1.6391800108928001E-6</v>
      </c>
      <c r="BL39" s="606">
        <v>0</v>
      </c>
      <c r="BM39" s="606">
        <v>5.5573703078656402E-5</v>
      </c>
      <c r="BN39" s="608">
        <v>0.52425452799250505</v>
      </c>
      <c r="BO39" s="602"/>
    </row>
    <row r="40" spans="1:67">
      <c r="A40" s="607" t="s">
        <v>76</v>
      </c>
      <c r="B40" s="606">
        <v>2050</v>
      </c>
      <c r="C40" s="606" t="s">
        <v>150</v>
      </c>
      <c r="D40" s="606" t="s">
        <v>586</v>
      </c>
      <c r="E40" s="606" t="s">
        <v>586</v>
      </c>
      <c r="F40" s="606" t="s">
        <v>125</v>
      </c>
      <c r="G40" s="606">
        <v>9.3274533778785091</v>
      </c>
      <c r="H40" s="606">
        <v>381.10463227620897</v>
      </c>
      <c r="I40" s="606">
        <v>36.377068173726101</v>
      </c>
      <c r="J40" s="606">
        <v>2.9493111972891E-3</v>
      </c>
      <c r="K40" s="606">
        <v>3.4939298990736898E-4</v>
      </c>
      <c r="L40" s="606">
        <v>3.04512047982708E-5</v>
      </c>
      <c r="M40" s="606">
        <v>3.3291553919947399E-3</v>
      </c>
      <c r="N40" s="606">
        <v>3.7771162306337399E-6</v>
      </c>
      <c r="O40" s="606">
        <v>1.4182026094950199E-7</v>
      </c>
      <c r="P40" s="606">
        <v>0</v>
      </c>
      <c r="Q40" s="606">
        <v>3.91893649158324E-6</v>
      </c>
      <c r="R40" s="606">
        <v>3.7808635212337E-6</v>
      </c>
      <c r="S40" s="606">
        <v>1.1115738752427E-5</v>
      </c>
      <c r="T40" s="606">
        <v>1.8815538765243998E-5</v>
      </c>
      <c r="U40" s="606">
        <v>3.9479006658779599E-6</v>
      </c>
      <c r="V40" s="606">
        <v>1.4823274383155101E-7</v>
      </c>
      <c r="W40" s="606">
        <v>0</v>
      </c>
      <c r="X40" s="606">
        <v>4.0961334097095104E-6</v>
      </c>
      <c r="Y40" s="606">
        <v>1.51234540849348E-5</v>
      </c>
      <c r="Z40" s="606">
        <v>2.59367237556632E-5</v>
      </c>
      <c r="AA40" s="606">
        <v>4.5156311250307503E-5</v>
      </c>
      <c r="AB40" s="606">
        <v>1.7816662828327601</v>
      </c>
      <c r="AC40" s="606">
        <v>4.87444845923019E-2</v>
      </c>
      <c r="AD40" s="606">
        <v>0</v>
      </c>
      <c r="AE40" s="606">
        <v>1.83041076742507</v>
      </c>
      <c r="AF40" s="606">
        <v>1.2713236791636199E-6</v>
      </c>
      <c r="AG40" s="606">
        <v>6.8483013380920099E-7</v>
      </c>
      <c r="AH40" s="606">
        <v>0</v>
      </c>
      <c r="AI40" s="606">
        <v>1.9561538129728201E-6</v>
      </c>
      <c r="AJ40" s="606">
        <v>2.8005312849748099E-4</v>
      </c>
      <c r="AK40" s="606">
        <v>7.6619541709948606E-6</v>
      </c>
      <c r="AL40" s="606">
        <v>0</v>
      </c>
      <c r="AM40" s="606">
        <v>2.8771508266847598E-4</v>
      </c>
      <c r="AN40" s="606">
        <v>2.73712501877358E-5</v>
      </c>
      <c r="AO40" s="606">
        <v>1.47442049855659E-5</v>
      </c>
      <c r="AP40" s="606">
        <v>0</v>
      </c>
      <c r="AQ40" s="606">
        <v>4.2115455173301698E-5</v>
      </c>
      <c r="AR40" s="606">
        <v>0</v>
      </c>
      <c r="AS40" s="606">
        <v>0</v>
      </c>
      <c r="AT40" s="606">
        <v>0</v>
      </c>
      <c r="AU40" s="606">
        <v>0</v>
      </c>
      <c r="AV40" s="606">
        <v>4.2115455173301698E-5</v>
      </c>
      <c r="AW40" s="606">
        <v>3.1160084803899803E-5</v>
      </c>
      <c r="AX40" s="606">
        <v>1.6785155028182501E-5</v>
      </c>
      <c r="AY40" s="606">
        <v>0</v>
      </c>
      <c r="AZ40" s="606">
        <v>4.7945239832082399E-5</v>
      </c>
      <c r="BA40" s="606">
        <v>0</v>
      </c>
      <c r="BB40" s="606">
        <v>0</v>
      </c>
      <c r="BC40" s="606">
        <v>0</v>
      </c>
      <c r="BD40" s="606">
        <v>0</v>
      </c>
      <c r="BE40" s="606">
        <v>4.7945239832082399E-5</v>
      </c>
      <c r="BF40" s="606">
        <v>7.5451180559355695E-5</v>
      </c>
      <c r="BG40" s="606">
        <v>8.3750396801432996E-5</v>
      </c>
      <c r="BH40" s="606">
        <v>0</v>
      </c>
      <c r="BI40" s="606">
        <v>1.5920157736078801E-4</v>
      </c>
      <c r="BJ40" s="606">
        <v>1.683229960884E-5</v>
      </c>
      <c r="BK40" s="606">
        <v>4.6051372069048901E-7</v>
      </c>
      <c r="BL40" s="606">
        <v>0</v>
      </c>
      <c r="BM40" s="606">
        <v>1.7292813329530501E-5</v>
      </c>
      <c r="BN40" s="608">
        <v>0.16313175454412501</v>
      </c>
      <c r="BO40" s="602"/>
    </row>
    <row r="41" spans="1:67">
      <c r="A41" s="607" t="s">
        <v>76</v>
      </c>
      <c r="B41" s="606">
        <v>2050</v>
      </c>
      <c r="C41" s="606" t="s">
        <v>149</v>
      </c>
      <c r="D41" s="606" t="s">
        <v>586</v>
      </c>
      <c r="E41" s="606" t="s">
        <v>586</v>
      </c>
      <c r="F41" s="606" t="s">
        <v>125</v>
      </c>
      <c r="G41" s="606">
        <v>283.78891564093601</v>
      </c>
      <c r="H41" s="606">
        <v>35151.408058489898</v>
      </c>
      <c r="I41" s="606">
        <v>3604.11922863988</v>
      </c>
      <c r="J41" s="606">
        <v>6.7300003081391696E-2</v>
      </c>
      <c r="K41" s="606">
        <v>6.9483126000491301E-3</v>
      </c>
      <c r="L41" s="606">
        <v>7.4439102865888496E-3</v>
      </c>
      <c r="M41" s="606">
        <v>8.1692225968029705E-2</v>
      </c>
      <c r="N41" s="606">
        <v>9.8931849978617392E-4</v>
      </c>
      <c r="O41" s="606">
        <v>2.3941548626501802E-6</v>
      </c>
      <c r="P41" s="606">
        <v>0</v>
      </c>
      <c r="Q41" s="606">
        <v>9.9171265464882501E-4</v>
      </c>
      <c r="R41" s="606">
        <v>3.4873015228012899E-4</v>
      </c>
      <c r="S41" s="606">
        <v>1.0252666477035799E-3</v>
      </c>
      <c r="T41" s="606">
        <v>2.3657094546325301E-3</v>
      </c>
      <c r="U41" s="606">
        <v>1.03405109231068E-3</v>
      </c>
      <c r="V41" s="606">
        <v>2.5024079216343601E-6</v>
      </c>
      <c r="W41" s="606">
        <v>0</v>
      </c>
      <c r="X41" s="606">
        <v>1.03655350023231E-3</v>
      </c>
      <c r="Y41" s="606">
        <v>1.3949206091205099E-3</v>
      </c>
      <c r="Z41" s="606">
        <v>2.3922888446416802E-3</v>
      </c>
      <c r="AA41" s="606">
        <v>4.8237629539945202E-3</v>
      </c>
      <c r="AB41" s="606">
        <v>34.8832063536696</v>
      </c>
      <c r="AC41" s="606">
        <v>1.1029892033178601</v>
      </c>
      <c r="AD41" s="606">
        <v>0</v>
      </c>
      <c r="AE41" s="606">
        <v>35.986195556987497</v>
      </c>
      <c r="AF41" s="606">
        <v>3.2625970159537199E-5</v>
      </c>
      <c r="AG41" s="606">
        <v>2.73108952142803E-5</v>
      </c>
      <c r="AH41" s="606">
        <v>0</v>
      </c>
      <c r="AI41" s="606">
        <v>5.9936865373817598E-5</v>
      </c>
      <c r="AJ41" s="606">
        <v>5.4831542615466104E-3</v>
      </c>
      <c r="AK41" s="606">
        <v>1.7337454273253701E-4</v>
      </c>
      <c r="AL41" s="606">
        <v>0</v>
      </c>
      <c r="AM41" s="606">
        <v>5.6565288042791503E-3</v>
      </c>
      <c r="AN41" s="606">
        <v>7.02428190782849E-4</v>
      </c>
      <c r="AO41" s="606">
        <v>5.8799608472084202E-4</v>
      </c>
      <c r="AP41" s="606">
        <v>0</v>
      </c>
      <c r="AQ41" s="606">
        <v>1.29042427550369E-3</v>
      </c>
      <c r="AR41" s="606">
        <v>0</v>
      </c>
      <c r="AS41" s="606">
        <v>0</v>
      </c>
      <c r="AT41" s="606">
        <v>0</v>
      </c>
      <c r="AU41" s="606">
        <v>0</v>
      </c>
      <c r="AV41" s="606">
        <v>1.29042427550369E-3</v>
      </c>
      <c r="AW41" s="606">
        <v>7.9966102546717797E-4</v>
      </c>
      <c r="AX41" s="606">
        <v>6.6938878343496299E-4</v>
      </c>
      <c r="AY41" s="606">
        <v>0</v>
      </c>
      <c r="AZ41" s="606">
        <v>1.46904980890214E-3</v>
      </c>
      <c r="BA41" s="606">
        <v>0</v>
      </c>
      <c r="BB41" s="606">
        <v>0</v>
      </c>
      <c r="BC41" s="606">
        <v>0</v>
      </c>
      <c r="BD41" s="606">
        <v>0</v>
      </c>
      <c r="BE41" s="606">
        <v>1.46904980890214E-3</v>
      </c>
      <c r="BF41" s="606">
        <v>6.0790620866540404E-3</v>
      </c>
      <c r="BG41" s="606">
        <v>8.68812412711812E-3</v>
      </c>
      <c r="BH41" s="606">
        <v>0</v>
      </c>
      <c r="BI41" s="606">
        <v>1.4767186213772101E-2</v>
      </c>
      <c r="BJ41" s="606">
        <v>3.2955923694553702E-4</v>
      </c>
      <c r="BK41" s="606">
        <v>1.0420495080618E-5</v>
      </c>
      <c r="BL41" s="606">
        <v>0</v>
      </c>
      <c r="BM41" s="606">
        <v>3.3997973202615499E-4</v>
      </c>
      <c r="BN41" s="608">
        <v>3.2071988020687301</v>
      </c>
      <c r="BO41" s="602"/>
    </row>
    <row r="42" spans="1:67">
      <c r="A42" s="607" t="s">
        <v>76</v>
      </c>
      <c r="B42" s="606">
        <v>2050</v>
      </c>
      <c r="C42" s="606" t="s">
        <v>148</v>
      </c>
      <c r="D42" s="606" t="s">
        <v>586</v>
      </c>
      <c r="E42" s="606" t="s">
        <v>586</v>
      </c>
      <c r="F42" s="606" t="s">
        <v>125</v>
      </c>
      <c r="G42" s="606">
        <v>44.425099104320402</v>
      </c>
      <c r="H42" s="606">
        <v>3272.0514173321799</v>
      </c>
      <c r="I42" s="606">
        <v>200.84414580675099</v>
      </c>
      <c r="J42" s="606">
        <v>1.50739263476872E-2</v>
      </c>
      <c r="K42" s="606">
        <v>9.2265675946070699E-4</v>
      </c>
      <c r="L42" s="606">
        <v>1.0109484078063299E-3</v>
      </c>
      <c r="M42" s="606">
        <v>1.7007531514954301E-2</v>
      </c>
      <c r="N42" s="606">
        <v>7.6960812460977396E-5</v>
      </c>
      <c r="O42" s="606">
        <v>3.1792111875313898E-7</v>
      </c>
      <c r="P42" s="606">
        <v>0</v>
      </c>
      <c r="Q42" s="606">
        <v>7.7278733579730504E-5</v>
      </c>
      <c r="R42" s="606">
        <v>3.2461373585262897E-5</v>
      </c>
      <c r="S42" s="606">
        <v>9.5436438340673206E-5</v>
      </c>
      <c r="T42" s="606">
        <v>2.05176545505666E-4</v>
      </c>
      <c r="U42" s="606">
        <v>8.0440638891915401E-5</v>
      </c>
      <c r="V42" s="606">
        <v>3.32296100989086E-7</v>
      </c>
      <c r="W42" s="606">
        <v>0</v>
      </c>
      <c r="X42" s="606">
        <v>8.0772934992904503E-5</v>
      </c>
      <c r="Y42" s="606">
        <v>1.2984549434105099E-4</v>
      </c>
      <c r="Z42" s="606">
        <v>2.2268502279490401E-4</v>
      </c>
      <c r="AA42" s="606">
        <v>4.3330345212886002E-4</v>
      </c>
      <c r="AB42" s="606">
        <v>4.6519915083802701</v>
      </c>
      <c r="AC42" s="606">
        <v>0.146425172007978</v>
      </c>
      <c r="AD42" s="606">
        <v>0</v>
      </c>
      <c r="AE42" s="606">
        <v>4.7984166803882404</v>
      </c>
      <c r="AF42" s="606">
        <v>6.11868438526231E-6</v>
      </c>
      <c r="AG42" s="606">
        <v>3.6265260972220298E-6</v>
      </c>
      <c r="AH42" s="606">
        <v>0</v>
      </c>
      <c r="AI42" s="606">
        <v>9.7452104824843394E-6</v>
      </c>
      <c r="AJ42" s="606">
        <v>7.3122828232131704E-4</v>
      </c>
      <c r="AK42" s="606">
        <v>2.3015997949075599E-5</v>
      </c>
      <c r="AL42" s="606">
        <v>0</v>
      </c>
      <c r="AM42" s="606">
        <v>7.5424428027039299E-4</v>
      </c>
      <c r="AN42" s="606">
        <v>1.3173359693810299E-4</v>
      </c>
      <c r="AO42" s="606">
        <v>7.8078112400706899E-5</v>
      </c>
      <c r="AP42" s="606">
        <v>0</v>
      </c>
      <c r="AQ42" s="606">
        <v>2.0981170933881001E-4</v>
      </c>
      <c r="AR42" s="606">
        <v>0</v>
      </c>
      <c r="AS42" s="606">
        <v>0</v>
      </c>
      <c r="AT42" s="606">
        <v>0</v>
      </c>
      <c r="AU42" s="606">
        <v>0</v>
      </c>
      <c r="AV42" s="606">
        <v>2.0981170933881001E-4</v>
      </c>
      <c r="AW42" s="606">
        <v>1.49968672382868E-4</v>
      </c>
      <c r="AX42" s="606">
        <v>8.8885987561670204E-5</v>
      </c>
      <c r="AY42" s="606">
        <v>0</v>
      </c>
      <c r="AZ42" s="606">
        <v>2.38854659944538E-4</v>
      </c>
      <c r="BA42" s="606">
        <v>0</v>
      </c>
      <c r="BB42" s="606">
        <v>0</v>
      </c>
      <c r="BC42" s="606">
        <v>0</v>
      </c>
      <c r="BD42" s="606">
        <v>0</v>
      </c>
      <c r="BE42" s="606">
        <v>2.38854659944538E-4</v>
      </c>
      <c r="BF42" s="606">
        <v>1.83501296238724E-3</v>
      </c>
      <c r="BG42" s="606">
        <v>1.1536624473913401E-3</v>
      </c>
      <c r="BH42" s="606">
        <v>0</v>
      </c>
      <c r="BI42" s="606">
        <v>2.9886754097785801E-3</v>
      </c>
      <c r="BJ42" s="606">
        <v>4.3949709101716197E-5</v>
      </c>
      <c r="BK42" s="606">
        <v>1.383352420856E-6</v>
      </c>
      <c r="BL42" s="606">
        <v>0</v>
      </c>
      <c r="BM42" s="606">
        <v>4.5333061522572201E-5</v>
      </c>
      <c r="BN42" s="608">
        <v>0.42764943587318499</v>
      </c>
      <c r="BO42" s="602"/>
    </row>
    <row r="43" spans="1:67">
      <c r="A43" s="607" t="s">
        <v>76</v>
      </c>
      <c r="B43" s="606">
        <v>2050</v>
      </c>
      <c r="C43" s="606" t="s">
        <v>147</v>
      </c>
      <c r="D43" s="606" t="s">
        <v>586</v>
      </c>
      <c r="E43" s="606" t="s">
        <v>586</v>
      </c>
      <c r="F43" s="606" t="s">
        <v>125</v>
      </c>
      <c r="G43" s="606">
        <v>6.27313138524483</v>
      </c>
      <c r="H43" s="606">
        <v>127.186625330029</v>
      </c>
      <c r="I43" s="606">
        <v>72.141010930315502</v>
      </c>
      <c r="J43" s="606">
        <v>2.3970096924027501E-4</v>
      </c>
      <c r="K43" s="606">
        <v>5.1922929943926303E-5</v>
      </c>
      <c r="L43" s="606">
        <v>2.6579483427804999E-4</v>
      </c>
      <c r="M43" s="606">
        <v>5.5741873346225096E-4</v>
      </c>
      <c r="N43" s="606">
        <v>9.3231563495583901E-7</v>
      </c>
      <c r="O43" s="606">
        <v>1.7890895583399201E-8</v>
      </c>
      <c r="P43" s="606">
        <v>0</v>
      </c>
      <c r="Q43" s="606">
        <v>9.5020653053923896E-7</v>
      </c>
      <c r="R43" s="606">
        <v>1.2617933012963401E-6</v>
      </c>
      <c r="S43" s="606">
        <v>3.7096723058112399E-6</v>
      </c>
      <c r="T43" s="606">
        <v>5.9216721376468101E-6</v>
      </c>
      <c r="U43" s="606">
        <v>9.7447081087918393E-7</v>
      </c>
      <c r="V43" s="606">
        <v>1.8699842492007099E-8</v>
      </c>
      <c r="W43" s="606">
        <v>0</v>
      </c>
      <c r="X43" s="606">
        <v>9.9317065337119104E-7</v>
      </c>
      <c r="Y43" s="606">
        <v>5.0471732051853603E-6</v>
      </c>
      <c r="Z43" s="606">
        <v>8.6559020468928892E-6</v>
      </c>
      <c r="AA43" s="606">
        <v>1.4696245905449399E-5</v>
      </c>
      <c r="AB43" s="606">
        <v>0.159925769903451</v>
      </c>
      <c r="AC43" s="606">
        <v>8.5269268822041992E-3</v>
      </c>
      <c r="AD43" s="606">
        <v>0</v>
      </c>
      <c r="AE43" s="606">
        <v>0.168452696785655</v>
      </c>
      <c r="AF43" s="606">
        <v>1.02582769922208E-7</v>
      </c>
      <c r="AG43" s="606">
        <v>2.0408720513048899E-7</v>
      </c>
      <c r="AH43" s="606">
        <v>0</v>
      </c>
      <c r="AI43" s="606">
        <v>3.0666997505269799E-7</v>
      </c>
      <c r="AJ43" s="606">
        <v>2.5138103931348701E-5</v>
      </c>
      <c r="AK43" s="606">
        <v>1.3403141614341799E-6</v>
      </c>
      <c r="AL43" s="606">
        <v>0</v>
      </c>
      <c r="AM43" s="606">
        <v>2.6478418092782901E-5</v>
      </c>
      <c r="AN43" s="606">
        <v>2.2085789059942002E-6</v>
      </c>
      <c r="AO43" s="606">
        <v>4.3939415613004196E-6</v>
      </c>
      <c r="AP43" s="606">
        <v>0</v>
      </c>
      <c r="AQ43" s="606">
        <v>6.6025204672946198E-6</v>
      </c>
      <c r="AR43" s="606">
        <v>0</v>
      </c>
      <c r="AS43" s="606">
        <v>0</v>
      </c>
      <c r="AT43" s="606">
        <v>0</v>
      </c>
      <c r="AU43" s="606">
        <v>0</v>
      </c>
      <c r="AV43" s="606">
        <v>6.6025204672946198E-6</v>
      </c>
      <c r="AW43" s="606">
        <v>2.5142989646019002E-6</v>
      </c>
      <c r="AX43" s="606">
        <v>5.0021679950464396E-6</v>
      </c>
      <c r="AY43" s="606">
        <v>0</v>
      </c>
      <c r="AZ43" s="606">
        <v>7.5164669596483402E-6</v>
      </c>
      <c r="BA43" s="606">
        <v>0</v>
      </c>
      <c r="BB43" s="606">
        <v>0</v>
      </c>
      <c r="BC43" s="606">
        <v>0</v>
      </c>
      <c r="BD43" s="606">
        <v>0</v>
      </c>
      <c r="BE43" s="606">
        <v>7.5164669596483402E-6</v>
      </c>
      <c r="BF43" s="606">
        <v>2.87832703732598E-5</v>
      </c>
      <c r="BG43" s="606">
        <v>6.4924088244576201E-5</v>
      </c>
      <c r="BH43" s="606">
        <v>0</v>
      </c>
      <c r="BI43" s="606">
        <v>9.37073586178361E-5</v>
      </c>
      <c r="BJ43" s="606">
        <v>1.5108993755605399E-6</v>
      </c>
      <c r="BK43" s="606">
        <v>8.0558177143999405E-8</v>
      </c>
      <c r="BL43" s="606">
        <v>0</v>
      </c>
      <c r="BM43" s="606">
        <v>1.5914575527045401E-6</v>
      </c>
      <c r="BN43" s="608">
        <v>1.5013014823438199E-2</v>
      </c>
      <c r="BO43" s="602"/>
    </row>
    <row r="44" spans="1:67">
      <c r="A44" s="607" t="s">
        <v>76</v>
      </c>
      <c r="B44" s="606">
        <v>2050</v>
      </c>
      <c r="C44" s="606" t="s">
        <v>132</v>
      </c>
      <c r="D44" s="606" t="s">
        <v>586</v>
      </c>
      <c r="E44" s="606" t="s">
        <v>586</v>
      </c>
      <c r="F44" s="606" t="s">
        <v>125</v>
      </c>
      <c r="G44" s="606">
        <v>247.300598948953</v>
      </c>
      <c r="H44" s="606">
        <v>19385.043861670401</v>
      </c>
      <c r="I44" s="606">
        <v>989.20239579581198</v>
      </c>
      <c r="J44" s="606">
        <v>1.66234780241661E-2</v>
      </c>
      <c r="K44" s="606">
        <v>0</v>
      </c>
      <c r="L44" s="606">
        <v>0</v>
      </c>
      <c r="M44" s="606">
        <v>1.66234780241661E-2</v>
      </c>
      <c r="N44" s="606">
        <v>1.17447408801718E-4</v>
      </c>
      <c r="O44" s="606">
        <v>0</v>
      </c>
      <c r="P44" s="606">
        <v>0</v>
      </c>
      <c r="Q44" s="606">
        <v>1.17447408801718E-4</v>
      </c>
      <c r="R44" s="606">
        <v>1.7037205998377401E-4</v>
      </c>
      <c r="S44" s="606">
        <v>6.7292838259858502E-4</v>
      </c>
      <c r="T44" s="606">
        <v>9.6074785138407801E-4</v>
      </c>
      <c r="U44" s="606">
        <v>1.22757859462573E-4</v>
      </c>
      <c r="V44" s="606">
        <v>0</v>
      </c>
      <c r="W44" s="606">
        <v>0</v>
      </c>
      <c r="X44" s="606">
        <v>1.22757859462573E-4</v>
      </c>
      <c r="Y44" s="606">
        <v>6.8148823993509605E-4</v>
      </c>
      <c r="Z44" s="606">
        <v>1.5701662260633601E-3</v>
      </c>
      <c r="AA44" s="606">
        <v>2.3744123254610299E-3</v>
      </c>
      <c r="AB44" s="606">
        <v>31.648905079658899</v>
      </c>
      <c r="AC44" s="606">
        <v>0</v>
      </c>
      <c r="AD44" s="606">
        <v>0</v>
      </c>
      <c r="AE44" s="606">
        <v>31.648905079658899</v>
      </c>
      <c r="AF44" s="606">
        <v>1.58492832466214E-3</v>
      </c>
      <c r="AG44" s="606">
        <v>0</v>
      </c>
      <c r="AH44" s="606">
        <v>0</v>
      </c>
      <c r="AI44" s="606">
        <v>1.58492832466214E-3</v>
      </c>
      <c r="AJ44" s="606">
        <v>4.9747671415692699E-3</v>
      </c>
      <c r="AK44" s="606">
        <v>0</v>
      </c>
      <c r="AL44" s="606">
        <v>0</v>
      </c>
      <c r="AM44" s="606">
        <v>4.9747671415692699E-3</v>
      </c>
      <c r="AN44" s="606">
        <v>2.2645498481237002E-5</v>
      </c>
      <c r="AO44" s="606">
        <v>0</v>
      </c>
      <c r="AP44" s="606">
        <v>0</v>
      </c>
      <c r="AQ44" s="606">
        <v>2.2645498481237002E-5</v>
      </c>
      <c r="AR44" s="606">
        <v>0</v>
      </c>
      <c r="AS44" s="606">
        <v>0</v>
      </c>
      <c r="AT44" s="606">
        <v>0</v>
      </c>
      <c r="AU44" s="606">
        <v>0</v>
      </c>
      <c r="AV44" s="606">
        <v>2.2645498481237002E-5</v>
      </c>
      <c r="AW44" s="606">
        <v>1.6175356058026401E-3</v>
      </c>
      <c r="AX44" s="606">
        <v>0</v>
      </c>
      <c r="AY44" s="606">
        <v>0</v>
      </c>
      <c r="AZ44" s="606">
        <v>1.6175356058026401E-3</v>
      </c>
      <c r="BA44" s="606">
        <v>0</v>
      </c>
      <c r="BB44" s="606">
        <v>0</v>
      </c>
      <c r="BC44" s="606">
        <v>0</v>
      </c>
      <c r="BD44" s="606">
        <v>0</v>
      </c>
      <c r="BE44" s="606">
        <v>1.6175356058026401E-3</v>
      </c>
      <c r="BF44" s="606">
        <v>2.6793189674958898E-3</v>
      </c>
      <c r="BG44" s="606">
        <v>0</v>
      </c>
      <c r="BH44" s="606">
        <v>0</v>
      </c>
      <c r="BI44" s="606">
        <v>2.6793189674958898E-3</v>
      </c>
      <c r="BJ44" s="606">
        <v>2.9919596960538099E-4</v>
      </c>
      <c r="BK44" s="606">
        <v>0</v>
      </c>
      <c r="BL44" s="606">
        <v>0</v>
      </c>
      <c r="BM44" s="606">
        <v>2.9919596960538099E-4</v>
      </c>
      <c r="BN44" s="608">
        <v>2.8206463308278198</v>
      </c>
      <c r="BO44" s="602"/>
    </row>
    <row r="45" spans="1:67">
      <c r="A45" s="607" t="s">
        <v>76</v>
      </c>
      <c r="B45" s="606">
        <v>2050</v>
      </c>
      <c r="C45" s="606" t="s">
        <v>144</v>
      </c>
      <c r="D45" s="606" t="s">
        <v>586</v>
      </c>
      <c r="E45" s="606" t="s">
        <v>586</v>
      </c>
      <c r="F45" s="606" t="s">
        <v>10</v>
      </c>
      <c r="G45" s="606">
        <v>24977.3014133533</v>
      </c>
      <c r="H45" s="606">
        <v>597489.10254377103</v>
      </c>
      <c r="I45" s="606">
        <v>118365.000191956</v>
      </c>
      <c r="J45" s="606">
        <v>0</v>
      </c>
      <c r="K45" s="606">
        <v>0</v>
      </c>
      <c r="L45" s="606">
        <v>0</v>
      </c>
      <c r="M45" s="606">
        <v>0</v>
      </c>
      <c r="N45" s="606">
        <v>0</v>
      </c>
      <c r="O45" s="606">
        <v>0</v>
      </c>
      <c r="P45" s="606">
        <v>0</v>
      </c>
      <c r="Q45" s="606">
        <v>0</v>
      </c>
      <c r="R45" s="606">
        <v>1.31723799177612E-3</v>
      </c>
      <c r="S45" s="606">
        <v>1.03732491852369E-2</v>
      </c>
      <c r="T45" s="606">
        <v>1.1690487177012999E-2</v>
      </c>
      <c r="U45" s="606">
        <v>0</v>
      </c>
      <c r="V45" s="606">
        <v>0</v>
      </c>
      <c r="W45" s="606">
        <v>0</v>
      </c>
      <c r="X45" s="606">
        <v>0</v>
      </c>
      <c r="Y45" s="606">
        <v>5.2689519671044798E-3</v>
      </c>
      <c r="Z45" s="606">
        <v>2.4204248098886199E-2</v>
      </c>
      <c r="AA45" s="606">
        <v>2.94732000659907E-2</v>
      </c>
      <c r="AB45" s="606">
        <v>0</v>
      </c>
      <c r="AC45" s="606">
        <v>0</v>
      </c>
      <c r="AD45" s="606">
        <v>0</v>
      </c>
      <c r="AE45" s="606">
        <v>0</v>
      </c>
      <c r="AF45" s="606">
        <v>0</v>
      </c>
      <c r="AG45" s="606">
        <v>0</v>
      </c>
      <c r="AH45" s="606">
        <v>0</v>
      </c>
      <c r="AI45" s="606">
        <v>0</v>
      </c>
      <c r="AJ45" s="606">
        <v>0</v>
      </c>
      <c r="AK45" s="606">
        <v>0</v>
      </c>
      <c r="AL45" s="606">
        <v>0</v>
      </c>
      <c r="AM45" s="606">
        <v>0</v>
      </c>
      <c r="AN45" s="606">
        <v>0</v>
      </c>
      <c r="AO45" s="606">
        <v>0</v>
      </c>
      <c r="AP45" s="606">
        <v>0</v>
      </c>
      <c r="AQ45" s="606">
        <v>0</v>
      </c>
      <c r="AR45" s="606">
        <v>3.3046178649066599E-4</v>
      </c>
      <c r="AS45" s="606">
        <v>6.3776542686497597E-4</v>
      </c>
      <c r="AT45" s="606">
        <v>0</v>
      </c>
      <c r="AU45" s="606">
        <v>8.6115526190892505E-5</v>
      </c>
      <c r="AV45" s="606">
        <v>1.0543427395465299E-3</v>
      </c>
      <c r="AW45" s="606">
        <v>0</v>
      </c>
      <c r="AX45" s="606">
        <v>0</v>
      </c>
      <c r="AY45" s="606">
        <v>0</v>
      </c>
      <c r="AZ45" s="606">
        <v>0</v>
      </c>
      <c r="BA45" s="606">
        <v>3.3046178649066599E-4</v>
      </c>
      <c r="BB45" s="606">
        <v>6.3776542686471403E-4</v>
      </c>
      <c r="BC45" s="606">
        <v>0</v>
      </c>
      <c r="BD45" s="606">
        <v>8.6115526190892505E-5</v>
      </c>
      <c r="BE45" s="606">
        <v>1.0543427395462699E-3</v>
      </c>
      <c r="BF45" s="606">
        <v>0</v>
      </c>
      <c r="BG45" s="606">
        <v>0</v>
      </c>
      <c r="BH45" s="606">
        <v>0</v>
      </c>
      <c r="BI45" s="606">
        <v>0</v>
      </c>
      <c r="BJ45" s="606">
        <v>0</v>
      </c>
      <c r="BK45" s="606">
        <v>0</v>
      </c>
      <c r="BL45" s="606">
        <v>0</v>
      </c>
      <c r="BM45" s="606">
        <v>0</v>
      </c>
      <c r="BN45" s="608">
        <v>0</v>
      </c>
      <c r="BO45" s="602"/>
    </row>
    <row r="46" spans="1:67">
      <c r="A46" s="607" t="s">
        <v>76</v>
      </c>
      <c r="B46" s="606">
        <v>2050</v>
      </c>
      <c r="C46" s="606" t="s">
        <v>143</v>
      </c>
      <c r="D46" s="606" t="s">
        <v>586</v>
      </c>
      <c r="E46" s="606" t="s">
        <v>586</v>
      </c>
      <c r="F46" s="606" t="s">
        <v>10</v>
      </c>
      <c r="G46" s="606">
        <v>3314.26823175036</v>
      </c>
      <c r="H46" s="606">
        <v>73899.229424357094</v>
      </c>
      <c r="I46" s="606">
        <v>15343.971114567599</v>
      </c>
      <c r="J46" s="606">
        <v>0</v>
      </c>
      <c r="K46" s="606">
        <v>0</v>
      </c>
      <c r="L46" s="606">
        <v>0</v>
      </c>
      <c r="M46" s="606">
        <v>0</v>
      </c>
      <c r="N46" s="606">
        <v>0</v>
      </c>
      <c r="O46" s="606">
        <v>0</v>
      </c>
      <c r="P46" s="606">
        <v>0</v>
      </c>
      <c r="Q46" s="606">
        <v>0</v>
      </c>
      <c r="R46" s="606">
        <v>1.6291991292613001E-4</v>
      </c>
      <c r="S46" s="606">
        <v>1.28299431429327E-3</v>
      </c>
      <c r="T46" s="606">
        <v>1.4459142272193999E-3</v>
      </c>
      <c r="U46" s="606">
        <v>0</v>
      </c>
      <c r="V46" s="606">
        <v>0</v>
      </c>
      <c r="W46" s="606">
        <v>0</v>
      </c>
      <c r="X46" s="606">
        <v>0</v>
      </c>
      <c r="Y46" s="606">
        <v>6.5167965170452103E-4</v>
      </c>
      <c r="Z46" s="606">
        <v>2.9936534000176399E-3</v>
      </c>
      <c r="AA46" s="606">
        <v>3.6453330517221601E-3</v>
      </c>
      <c r="AB46" s="606">
        <v>0</v>
      </c>
      <c r="AC46" s="606">
        <v>0</v>
      </c>
      <c r="AD46" s="606">
        <v>0</v>
      </c>
      <c r="AE46" s="606">
        <v>0</v>
      </c>
      <c r="AF46" s="606">
        <v>0</v>
      </c>
      <c r="AG46" s="606">
        <v>0</v>
      </c>
      <c r="AH46" s="606">
        <v>0</v>
      </c>
      <c r="AI46" s="606">
        <v>0</v>
      </c>
      <c r="AJ46" s="606">
        <v>0</v>
      </c>
      <c r="AK46" s="606">
        <v>0</v>
      </c>
      <c r="AL46" s="606">
        <v>0</v>
      </c>
      <c r="AM46" s="606">
        <v>0</v>
      </c>
      <c r="AN46" s="606">
        <v>0</v>
      </c>
      <c r="AO46" s="606">
        <v>0</v>
      </c>
      <c r="AP46" s="606">
        <v>0</v>
      </c>
      <c r="AQ46" s="606">
        <v>0</v>
      </c>
      <c r="AR46" s="606">
        <v>4.3849372782439601E-5</v>
      </c>
      <c r="AS46" s="606">
        <v>8.26752356846713E-5</v>
      </c>
      <c r="AT46" s="606">
        <v>0</v>
      </c>
      <c r="AU46" s="606">
        <v>1.1426772972453901E-5</v>
      </c>
      <c r="AV46" s="606">
        <v>1.37951381439564E-4</v>
      </c>
      <c r="AW46" s="606">
        <v>0</v>
      </c>
      <c r="AX46" s="606">
        <v>0</v>
      </c>
      <c r="AY46" s="606">
        <v>0</v>
      </c>
      <c r="AZ46" s="606">
        <v>0</v>
      </c>
      <c r="BA46" s="606">
        <v>4.3849372782439601E-5</v>
      </c>
      <c r="BB46" s="606">
        <v>8.2675235684637297E-5</v>
      </c>
      <c r="BC46" s="606">
        <v>0</v>
      </c>
      <c r="BD46" s="606">
        <v>1.1426772972453901E-5</v>
      </c>
      <c r="BE46" s="606">
        <v>1.3795138143953001E-4</v>
      </c>
      <c r="BF46" s="606">
        <v>0</v>
      </c>
      <c r="BG46" s="606">
        <v>0</v>
      </c>
      <c r="BH46" s="606">
        <v>0</v>
      </c>
      <c r="BI46" s="606">
        <v>0</v>
      </c>
      <c r="BJ46" s="606">
        <v>0</v>
      </c>
      <c r="BK46" s="606">
        <v>0</v>
      </c>
      <c r="BL46" s="606">
        <v>0</v>
      </c>
      <c r="BM46" s="606">
        <v>0</v>
      </c>
      <c r="BN46" s="608">
        <v>0</v>
      </c>
      <c r="BO46" s="602"/>
    </row>
    <row r="47" spans="1:67">
      <c r="A47" s="607" t="s">
        <v>76</v>
      </c>
      <c r="B47" s="606">
        <v>2050</v>
      </c>
      <c r="C47" s="606" t="s">
        <v>142</v>
      </c>
      <c r="D47" s="606" t="s">
        <v>586</v>
      </c>
      <c r="E47" s="606" t="s">
        <v>586</v>
      </c>
      <c r="F47" s="606" t="s">
        <v>10</v>
      </c>
      <c r="G47" s="606">
        <v>11492.689175847399</v>
      </c>
      <c r="H47" s="606">
        <v>180751.135468416</v>
      </c>
      <c r="I47" s="606">
        <v>53563.0298510457</v>
      </c>
      <c r="J47" s="606">
        <v>0</v>
      </c>
      <c r="K47" s="606">
        <v>0</v>
      </c>
      <c r="L47" s="606">
        <v>0</v>
      </c>
      <c r="M47" s="606">
        <v>0</v>
      </c>
      <c r="N47" s="606">
        <v>0</v>
      </c>
      <c r="O47" s="606">
        <v>0</v>
      </c>
      <c r="P47" s="606">
        <v>0</v>
      </c>
      <c r="Q47" s="606">
        <v>0</v>
      </c>
      <c r="R47" s="606">
        <v>3.9848804217852202E-4</v>
      </c>
      <c r="S47" s="606">
        <v>3.1380933321558599E-3</v>
      </c>
      <c r="T47" s="606">
        <v>3.5365813743343799E-3</v>
      </c>
      <c r="U47" s="606">
        <v>0</v>
      </c>
      <c r="V47" s="606">
        <v>0</v>
      </c>
      <c r="W47" s="606">
        <v>0</v>
      </c>
      <c r="X47" s="606">
        <v>0</v>
      </c>
      <c r="Y47" s="606">
        <v>1.5939521687140901E-3</v>
      </c>
      <c r="Z47" s="606">
        <v>7.3222177750303496E-3</v>
      </c>
      <c r="AA47" s="606">
        <v>8.9161699437444401E-3</v>
      </c>
      <c r="AB47" s="606">
        <v>0</v>
      </c>
      <c r="AC47" s="606">
        <v>0</v>
      </c>
      <c r="AD47" s="606">
        <v>0</v>
      </c>
      <c r="AE47" s="606">
        <v>0</v>
      </c>
      <c r="AF47" s="606">
        <v>0</v>
      </c>
      <c r="AG47" s="606">
        <v>0</v>
      </c>
      <c r="AH47" s="606">
        <v>0</v>
      </c>
      <c r="AI47" s="606">
        <v>0</v>
      </c>
      <c r="AJ47" s="606">
        <v>0</v>
      </c>
      <c r="AK47" s="606">
        <v>0</v>
      </c>
      <c r="AL47" s="606">
        <v>0</v>
      </c>
      <c r="AM47" s="606">
        <v>0</v>
      </c>
      <c r="AN47" s="606">
        <v>0</v>
      </c>
      <c r="AO47" s="606">
        <v>0</v>
      </c>
      <c r="AP47" s="606">
        <v>0</v>
      </c>
      <c r="AQ47" s="606">
        <v>0</v>
      </c>
      <c r="AR47" s="606">
        <v>1.5205384015592899E-4</v>
      </c>
      <c r="AS47" s="606">
        <v>2.8860430483448901E-4</v>
      </c>
      <c r="AT47" s="606">
        <v>0</v>
      </c>
      <c r="AU47" s="606">
        <v>3.9623935322226798E-5</v>
      </c>
      <c r="AV47" s="606">
        <v>4.80282080312645E-4</v>
      </c>
      <c r="AW47" s="606">
        <v>0</v>
      </c>
      <c r="AX47" s="606">
        <v>0</v>
      </c>
      <c r="AY47" s="606">
        <v>0</v>
      </c>
      <c r="AZ47" s="606">
        <v>0</v>
      </c>
      <c r="BA47" s="606">
        <v>1.5205384015592899E-4</v>
      </c>
      <c r="BB47" s="606">
        <v>2.8860430483437002E-4</v>
      </c>
      <c r="BC47" s="606">
        <v>0</v>
      </c>
      <c r="BD47" s="606">
        <v>3.9623935322226798E-5</v>
      </c>
      <c r="BE47" s="606">
        <v>4.8028208031252698E-4</v>
      </c>
      <c r="BF47" s="606">
        <v>0</v>
      </c>
      <c r="BG47" s="606">
        <v>0</v>
      </c>
      <c r="BH47" s="606">
        <v>0</v>
      </c>
      <c r="BI47" s="606">
        <v>0</v>
      </c>
      <c r="BJ47" s="606">
        <v>0</v>
      </c>
      <c r="BK47" s="606">
        <v>0</v>
      </c>
      <c r="BL47" s="606">
        <v>0</v>
      </c>
      <c r="BM47" s="606">
        <v>0</v>
      </c>
      <c r="BN47" s="608">
        <v>0</v>
      </c>
      <c r="BO47" s="602"/>
    </row>
    <row r="48" spans="1:67">
      <c r="A48" s="607" t="s">
        <v>76</v>
      </c>
      <c r="B48" s="606">
        <v>2050</v>
      </c>
      <c r="C48" s="606" t="s">
        <v>138</v>
      </c>
      <c r="D48" s="606" t="s">
        <v>586</v>
      </c>
      <c r="E48" s="606" t="s">
        <v>586</v>
      </c>
      <c r="F48" s="606" t="s">
        <v>10</v>
      </c>
      <c r="G48" s="606">
        <v>8552.7816100842592</v>
      </c>
      <c r="H48" s="606">
        <v>133072.12278830301</v>
      </c>
      <c r="I48" s="606">
        <v>39714.499231408699</v>
      </c>
      <c r="J48" s="606">
        <v>0</v>
      </c>
      <c r="K48" s="606">
        <v>0</v>
      </c>
      <c r="L48" s="606">
        <v>0</v>
      </c>
      <c r="M48" s="606">
        <v>0</v>
      </c>
      <c r="N48" s="606">
        <v>0</v>
      </c>
      <c r="O48" s="606">
        <v>0</v>
      </c>
      <c r="P48" s="606">
        <v>0</v>
      </c>
      <c r="Q48" s="606">
        <v>0</v>
      </c>
      <c r="R48" s="606">
        <v>2.9337381223653003E-4</v>
      </c>
      <c r="S48" s="606">
        <v>2.3103187713626799E-3</v>
      </c>
      <c r="T48" s="606">
        <v>2.6036925835992101E-3</v>
      </c>
      <c r="U48" s="606">
        <v>0</v>
      </c>
      <c r="V48" s="606">
        <v>0</v>
      </c>
      <c r="W48" s="606">
        <v>0</v>
      </c>
      <c r="X48" s="606">
        <v>0</v>
      </c>
      <c r="Y48" s="606">
        <v>1.1734952489461201E-3</v>
      </c>
      <c r="Z48" s="606">
        <v>5.3907437998462499E-3</v>
      </c>
      <c r="AA48" s="606">
        <v>6.5642390487923802E-3</v>
      </c>
      <c r="AB48" s="606">
        <v>0</v>
      </c>
      <c r="AC48" s="606">
        <v>0</v>
      </c>
      <c r="AD48" s="606">
        <v>0</v>
      </c>
      <c r="AE48" s="606">
        <v>0</v>
      </c>
      <c r="AF48" s="606">
        <v>0</v>
      </c>
      <c r="AG48" s="606">
        <v>0</v>
      </c>
      <c r="AH48" s="606">
        <v>0</v>
      </c>
      <c r="AI48" s="606">
        <v>0</v>
      </c>
      <c r="AJ48" s="606">
        <v>0</v>
      </c>
      <c r="AK48" s="606">
        <v>0</v>
      </c>
      <c r="AL48" s="606">
        <v>0</v>
      </c>
      <c r="AM48" s="606">
        <v>0</v>
      </c>
      <c r="AN48" s="606">
        <v>0</v>
      </c>
      <c r="AO48" s="606">
        <v>0</v>
      </c>
      <c r="AP48" s="606">
        <v>0</v>
      </c>
      <c r="AQ48" s="606">
        <v>0</v>
      </c>
      <c r="AR48" s="606">
        <v>1.13157440171736E-4</v>
      </c>
      <c r="AS48" s="606">
        <v>2.1398668959550599E-4</v>
      </c>
      <c r="AT48" s="606">
        <v>0</v>
      </c>
      <c r="AU48" s="606">
        <v>2.94878648641535E-5</v>
      </c>
      <c r="AV48" s="606">
        <v>3.5663199463139699E-4</v>
      </c>
      <c r="AW48" s="606">
        <v>0</v>
      </c>
      <c r="AX48" s="606">
        <v>0</v>
      </c>
      <c r="AY48" s="606">
        <v>0</v>
      </c>
      <c r="AZ48" s="606">
        <v>0</v>
      </c>
      <c r="BA48" s="606">
        <v>1.13157440171736E-4</v>
      </c>
      <c r="BB48" s="606">
        <v>2.1398668959541801E-4</v>
      </c>
      <c r="BC48" s="606">
        <v>0</v>
      </c>
      <c r="BD48" s="606">
        <v>2.94878648641535E-5</v>
      </c>
      <c r="BE48" s="606">
        <v>3.5663199463130797E-4</v>
      </c>
      <c r="BF48" s="606">
        <v>0</v>
      </c>
      <c r="BG48" s="606">
        <v>0</v>
      </c>
      <c r="BH48" s="606">
        <v>0</v>
      </c>
      <c r="BI48" s="606">
        <v>0</v>
      </c>
      <c r="BJ48" s="606">
        <v>0</v>
      </c>
      <c r="BK48" s="606">
        <v>0</v>
      </c>
      <c r="BL48" s="606">
        <v>0</v>
      </c>
      <c r="BM48" s="606">
        <v>0</v>
      </c>
      <c r="BN48" s="608">
        <v>0</v>
      </c>
      <c r="BO48" s="602"/>
    </row>
    <row r="49" spans="1:68">
      <c r="A49" s="607" t="s">
        <v>76</v>
      </c>
      <c r="B49" s="606">
        <v>2050</v>
      </c>
      <c r="C49" s="606" t="s">
        <v>144</v>
      </c>
      <c r="D49" s="606" t="s">
        <v>586</v>
      </c>
      <c r="E49" s="606" t="s">
        <v>586</v>
      </c>
      <c r="F49" s="606" t="s">
        <v>569</v>
      </c>
      <c r="G49" s="606">
        <v>375355.99984847603</v>
      </c>
      <c r="H49" s="606">
        <v>8188696.0764699299</v>
      </c>
      <c r="I49" s="606">
        <v>1771833.4569858799</v>
      </c>
      <c r="J49" s="606">
        <v>0.149325516682872</v>
      </c>
      <c r="K49" s="606">
        <v>0</v>
      </c>
      <c r="L49" s="606">
        <v>0.22479478933734101</v>
      </c>
      <c r="M49" s="606">
        <v>0.37412030602021401</v>
      </c>
      <c r="N49" s="606">
        <v>4.0018851357948304E-3</v>
      </c>
      <c r="O49" s="606">
        <v>0</v>
      </c>
      <c r="P49" s="606">
        <v>1.17632116512918E-3</v>
      </c>
      <c r="Q49" s="606">
        <v>5.17820630092401E-3</v>
      </c>
      <c r="R49" s="606">
        <v>1.8052984613629901E-2</v>
      </c>
      <c r="S49" s="606">
        <v>0.142167253832335</v>
      </c>
      <c r="T49" s="606">
        <v>0.165398444746889</v>
      </c>
      <c r="U49" s="606">
        <v>4.3524152206819702E-3</v>
      </c>
      <c r="V49" s="606">
        <v>0</v>
      </c>
      <c r="W49" s="606">
        <v>1.27935659565145E-3</v>
      </c>
      <c r="X49" s="606">
        <v>5.63177181633342E-3</v>
      </c>
      <c r="Y49" s="606">
        <v>7.2211938454519606E-2</v>
      </c>
      <c r="Z49" s="606">
        <v>0.33172359227544901</v>
      </c>
      <c r="AA49" s="606">
        <v>0.40956730254630203</v>
      </c>
      <c r="AB49" s="606">
        <v>1705.2603548946799</v>
      </c>
      <c r="AC49" s="606">
        <v>0</v>
      </c>
      <c r="AD49" s="606">
        <v>75.630861957792902</v>
      </c>
      <c r="AE49" s="606">
        <v>1780.8912168524801</v>
      </c>
      <c r="AF49" s="606">
        <v>4.8187255955605699E-3</v>
      </c>
      <c r="AG49" s="606">
        <v>0</v>
      </c>
      <c r="AH49" s="606">
        <v>3.4511015930912402E-2</v>
      </c>
      <c r="AI49" s="606">
        <v>3.9329741526472999E-2</v>
      </c>
      <c r="AJ49" s="606">
        <v>2.3967175107168399E-2</v>
      </c>
      <c r="AK49" s="606">
        <v>0</v>
      </c>
      <c r="AL49" s="606">
        <v>3.4443927928611603E-2</v>
      </c>
      <c r="AM49" s="606">
        <v>5.84111030357801E-2</v>
      </c>
      <c r="AN49" s="606">
        <v>1.3684604453876301E-2</v>
      </c>
      <c r="AO49" s="606">
        <v>0</v>
      </c>
      <c r="AP49" s="606">
        <v>0.127160824843811</v>
      </c>
      <c r="AQ49" s="606">
        <v>0.14084542929768701</v>
      </c>
      <c r="AR49" s="606">
        <v>1.8024301732438502E-2</v>
      </c>
      <c r="AS49" s="606">
        <v>5.79301094958471E-2</v>
      </c>
      <c r="AT49" s="606">
        <v>0.28621089644999698</v>
      </c>
      <c r="AU49" s="606">
        <v>2.0478489577914399E-2</v>
      </c>
      <c r="AV49" s="606">
        <v>0.52348922655388497</v>
      </c>
      <c r="AW49" s="606">
        <v>1.9968542695621701E-2</v>
      </c>
      <c r="AX49" s="606">
        <v>0</v>
      </c>
      <c r="AY49" s="606">
        <v>0.139225097190674</v>
      </c>
      <c r="AZ49" s="606">
        <v>0.15919363988629601</v>
      </c>
      <c r="BA49" s="606">
        <v>1.8024301732438502E-2</v>
      </c>
      <c r="BB49" s="606">
        <v>5.79301094958233E-2</v>
      </c>
      <c r="BC49" s="606">
        <v>0.28621089644987902</v>
      </c>
      <c r="BD49" s="606">
        <v>2.0478489577914399E-2</v>
      </c>
      <c r="BE49" s="606">
        <v>0.541837437142352</v>
      </c>
      <c r="BF49" s="606">
        <v>3.1510459887701598</v>
      </c>
      <c r="BG49" s="606">
        <v>0</v>
      </c>
      <c r="BH49" s="606">
        <v>2.86386945947141</v>
      </c>
      <c r="BI49" s="606">
        <v>6.0149154482415801</v>
      </c>
      <c r="BJ49" s="606">
        <v>1.6874933591144999E-2</v>
      </c>
      <c r="BK49" s="606">
        <v>0</v>
      </c>
      <c r="BL49" s="606">
        <v>7.4842868968101302E-4</v>
      </c>
      <c r="BM49" s="606">
        <v>1.7623362280826001E-2</v>
      </c>
      <c r="BN49" s="608">
        <v>187.97877142004899</v>
      </c>
      <c r="BO49" s="602"/>
    </row>
    <row r="50" spans="1:68">
      <c r="A50" s="607" t="s">
        <v>76</v>
      </c>
      <c r="B50" s="606">
        <v>2050</v>
      </c>
      <c r="C50" s="606" t="s">
        <v>143</v>
      </c>
      <c r="D50" s="606" t="s">
        <v>586</v>
      </c>
      <c r="E50" s="606" t="s">
        <v>586</v>
      </c>
      <c r="F50" s="606" t="s">
        <v>569</v>
      </c>
      <c r="G50" s="606">
        <v>81743.576517932903</v>
      </c>
      <c r="H50" s="606">
        <v>1636135.0230841499</v>
      </c>
      <c r="I50" s="606">
        <v>375698.07833154901</v>
      </c>
      <c r="J50" s="606">
        <v>3.3579955169425003E-2</v>
      </c>
      <c r="K50" s="606">
        <v>0</v>
      </c>
      <c r="L50" s="606">
        <v>5.50214228132552E-2</v>
      </c>
      <c r="M50" s="606">
        <v>8.8601377982680293E-2</v>
      </c>
      <c r="N50" s="606">
        <v>8.3248051245090595E-4</v>
      </c>
      <c r="O50" s="606">
        <v>0</v>
      </c>
      <c r="P50" s="606">
        <v>2.5954292802904199E-4</v>
      </c>
      <c r="Q50" s="606">
        <v>1.09202344047994E-3</v>
      </c>
      <c r="R50" s="606">
        <v>3.6070602842903799E-3</v>
      </c>
      <c r="S50" s="606">
        <v>2.8405599738786799E-2</v>
      </c>
      <c r="T50" s="606">
        <v>3.3104683463557098E-2</v>
      </c>
      <c r="U50" s="606">
        <v>9.0539851354149597E-4</v>
      </c>
      <c r="V50" s="606">
        <v>0</v>
      </c>
      <c r="W50" s="606">
        <v>2.8227661515567399E-4</v>
      </c>
      <c r="X50" s="606">
        <v>1.1876751286971699E-3</v>
      </c>
      <c r="Y50" s="606">
        <v>1.4428241137161501E-2</v>
      </c>
      <c r="Z50" s="606">
        <v>6.6279732723835805E-2</v>
      </c>
      <c r="AA50" s="606">
        <v>8.1895648989694494E-2</v>
      </c>
      <c r="AB50" s="606">
        <v>392.47914040074397</v>
      </c>
      <c r="AC50" s="606">
        <v>0</v>
      </c>
      <c r="AD50" s="606">
        <v>18.4800879570688</v>
      </c>
      <c r="AE50" s="606">
        <v>410.959228357813</v>
      </c>
      <c r="AF50" s="606">
        <v>1.0179089981542E-3</v>
      </c>
      <c r="AG50" s="606">
        <v>0</v>
      </c>
      <c r="AH50" s="606">
        <v>7.5392205600169704E-3</v>
      </c>
      <c r="AI50" s="606">
        <v>8.5571295581711795E-3</v>
      </c>
      <c r="AJ50" s="606">
        <v>5.11015326309101E-3</v>
      </c>
      <c r="AK50" s="606">
        <v>0</v>
      </c>
      <c r="AL50" s="606">
        <v>8.0597246550994303E-3</v>
      </c>
      <c r="AM50" s="606">
        <v>1.31698779181904E-2</v>
      </c>
      <c r="AN50" s="606">
        <v>2.93692709353544E-3</v>
      </c>
      <c r="AO50" s="606">
        <v>0</v>
      </c>
      <c r="AP50" s="606">
        <v>2.8094940874621801E-2</v>
      </c>
      <c r="AQ50" s="606">
        <v>3.1031867968157299E-2</v>
      </c>
      <c r="AR50" s="606">
        <v>6.3618253651017802E-3</v>
      </c>
      <c r="AS50" s="606">
        <v>1.64869870732498E-2</v>
      </c>
      <c r="AT50" s="606">
        <v>7.1808855596074E-2</v>
      </c>
      <c r="AU50" s="606">
        <v>7.5115201281379896E-3</v>
      </c>
      <c r="AV50" s="606">
        <v>0.13320105613072</v>
      </c>
      <c r="AW50" s="606">
        <v>4.2855571206940196E-3</v>
      </c>
      <c r="AX50" s="606">
        <v>0</v>
      </c>
      <c r="AY50" s="606">
        <v>3.07604238855789E-2</v>
      </c>
      <c r="AZ50" s="606">
        <v>3.5045981006273E-2</v>
      </c>
      <c r="BA50" s="606">
        <v>6.3618253651017802E-3</v>
      </c>
      <c r="BB50" s="606">
        <v>1.6486987073243E-2</v>
      </c>
      <c r="BC50" s="606">
        <v>7.1808855596044399E-2</v>
      </c>
      <c r="BD50" s="606">
        <v>7.5115201281379896E-3</v>
      </c>
      <c r="BE50" s="606">
        <v>0.1372151691688</v>
      </c>
      <c r="BF50" s="606">
        <v>0.637346565144848</v>
      </c>
      <c r="BG50" s="606">
        <v>0</v>
      </c>
      <c r="BH50" s="606">
        <v>0.61656108446587599</v>
      </c>
      <c r="BI50" s="606">
        <v>1.25390764961072</v>
      </c>
      <c r="BJ50" s="606">
        <v>3.88389925981787E-3</v>
      </c>
      <c r="BK50" s="606">
        <v>0</v>
      </c>
      <c r="BL50" s="606">
        <v>1.8287545132855299E-4</v>
      </c>
      <c r="BM50" s="606">
        <v>4.06677471114642E-3</v>
      </c>
      <c r="BN50" s="608">
        <v>43.378062690974701</v>
      </c>
      <c r="BO50" s="602"/>
    </row>
    <row r="51" spans="1:68">
      <c r="A51" s="607" t="s">
        <v>76</v>
      </c>
      <c r="B51" s="606">
        <v>2050</v>
      </c>
      <c r="C51" s="606" t="s">
        <v>142</v>
      </c>
      <c r="D51" s="606" t="s">
        <v>586</v>
      </c>
      <c r="E51" s="606" t="s">
        <v>586</v>
      </c>
      <c r="F51" s="606" t="s">
        <v>569</v>
      </c>
      <c r="G51" s="606">
        <v>244995.201704165</v>
      </c>
      <c r="H51" s="606">
        <v>4994857.2556264699</v>
      </c>
      <c r="I51" s="606">
        <v>1134361.61009731</v>
      </c>
      <c r="J51" s="606">
        <v>9.4779283953519797E-2</v>
      </c>
      <c r="K51" s="606">
        <v>0</v>
      </c>
      <c r="L51" s="606">
        <v>0.15592826387874101</v>
      </c>
      <c r="M51" s="606">
        <v>0.25070754783226101</v>
      </c>
      <c r="N51" s="606">
        <v>2.51404609694278E-3</v>
      </c>
      <c r="O51" s="606">
        <v>0</v>
      </c>
      <c r="P51" s="606">
        <v>7.7277494077880701E-4</v>
      </c>
      <c r="Q51" s="606">
        <v>3.2868210377215898E-3</v>
      </c>
      <c r="R51" s="606">
        <v>1.10117752986596E-2</v>
      </c>
      <c r="S51" s="606">
        <v>8.6717730476944394E-2</v>
      </c>
      <c r="T51" s="606">
        <v>0.10101632681332499</v>
      </c>
      <c r="U51" s="606">
        <v>2.7342545141932398E-3</v>
      </c>
      <c r="V51" s="606">
        <v>0</v>
      </c>
      <c r="W51" s="606">
        <v>8.4046325675943203E-4</v>
      </c>
      <c r="X51" s="606">
        <v>3.57471777095268E-3</v>
      </c>
      <c r="Y51" s="606">
        <v>4.4047101194638401E-2</v>
      </c>
      <c r="Z51" s="606">
        <v>0.20234137111287001</v>
      </c>
      <c r="AA51" s="606">
        <v>0.24996319007846099</v>
      </c>
      <c r="AB51" s="606">
        <v>1189.8186345366901</v>
      </c>
      <c r="AC51" s="606">
        <v>0</v>
      </c>
      <c r="AD51" s="606">
        <v>56.751506628543197</v>
      </c>
      <c r="AE51" s="606">
        <v>1246.5701411652301</v>
      </c>
      <c r="AF51" s="606">
        <v>4.0415565789306803E-3</v>
      </c>
      <c r="AG51" s="606">
        <v>0</v>
      </c>
      <c r="AH51" s="606">
        <v>2.9350093649415501E-2</v>
      </c>
      <c r="AI51" s="606">
        <v>3.3391650228346198E-2</v>
      </c>
      <c r="AJ51" s="606">
        <v>1.47770366747885E-2</v>
      </c>
      <c r="AK51" s="606">
        <v>0</v>
      </c>
      <c r="AL51" s="606">
        <v>2.3700789735701399E-2</v>
      </c>
      <c r="AM51" s="606">
        <v>3.8477826410490003E-2</v>
      </c>
      <c r="AN51" s="606">
        <v>1.2109540391562999E-2</v>
      </c>
      <c r="AO51" s="606">
        <v>0</v>
      </c>
      <c r="AP51" s="606">
        <v>0.11353189042496301</v>
      </c>
      <c r="AQ51" s="606">
        <v>0.12564143081652601</v>
      </c>
      <c r="AR51" s="606">
        <v>2.5460317262421501E-2</v>
      </c>
      <c r="AS51" s="606">
        <v>4.8546081988174603E-2</v>
      </c>
      <c r="AT51" s="606">
        <v>0.21376051226568801</v>
      </c>
      <c r="AU51" s="606">
        <v>2.98896240126049E-2</v>
      </c>
      <c r="AV51" s="606">
        <v>0.44329796634541602</v>
      </c>
      <c r="AW51" s="606">
        <v>1.7670212913226499E-2</v>
      </c>
      <c r="AX51" s="606">
        <v>0</v>
      </c>
      <c r="AY51" s="606">
        <v>0.124303129506051</v>
      </c>
      <c r="AZ51" s="606">
        <v>0.141973342419277</v>
      </c>
      <c r="BA51" s="606">
        <v>2.5460317262421501E-2</v>
      </c>
      <c r="BB51" s="606">
        <v>4.8546081988154702E-2</v>
      </c>
      <c r="BC51" s="606">
        <v>0.2137605122656</v>
      </c>
      <c r="BD51" s="606">
        <v>2.98896240126049E-2</v>
      </c>
      <c r="BE51" s="606">
        <v>0.45962987794805898</v>
      </c>
      <c r="BF51" s="606">
        <v>2.2257261135864299</v>
      </c>
      <c r="BG51" s="606">
        <v>0</v>
      </c>
      <c r="BH51" s="606">
        <v>2.4349924823484801</v>
      </c>
      <c r="BI51" s="606">
        <v>4.6607185959349096</v>
      </c>
      <c r="BJ51" s="606">
        <v>1.17742199223024E-2</v>
      </c>
      <c r="BK51" s="606">
        <v>0</v>
      </c>
      <c r="BL51" s="606">
        <v>5.6160216403625704E-4</v>
      </c>
      <c r="BM51" s="606">
        <v>1.2335822086338599E-2</v>
      </c>
      <c r="BN51" s="608">
        <v>131.579470664865</v>
      </c>
      <c r="BO51" s="602"/>
    </row>
    <row r="52" spans="1:68">
      <c r="A52" s="607" t="s">
        <v>76</v>
      </c>
      <c r="B52" s="606">
        <v>2050</v>
      </c>
      <c r="C52" s="606" t="s">
        <v>141</v>
      </c>
      <c r="D52" s="606" t="s">
        <v>586</v>
      </c>
      <c r="E52" s="606" t="s">
        <v>586</v>
      </c>
      <c r="F52" s="606" t="s">
        <v>569</v>
      </c>
      <c r="G52" s="606">
        <v>15235.5881842977</v>
      </c>
      <c r="H52" s="606">
        <v>346374.59064992599</v>
      </c>
      <c r="I52" s="606">
        <v>226987.56291964199</v>
      </c>
      <c r="J52" s="606">
        <v>5.6248906886813901E-2</v>
      </c>
      <c r="K52" s="606">
        <v>3.84351331487632E-4</v>
      </c>
      <c r="L52" s="606">
        <v>7.9963153415782598E-2</v>
      </c>
      <c r="M52" s="606">
        <v>0.13659641163408401</v>
      </c>
      <c r="N52" s="606">
        <v>7.8368277457164105E-4</v>
      </c>
      <c r="O52" s="606">
        <v>0</v>
      </c>
      <c r="P52" s="606">
        <v>7.5580146039913904E-5</v>
      </c>
      <c r="Q52" s="606">
        <v>8.5926292061155505E-4</v>
      </c>
      <c r="R52" s="606">
        <v>7.63625258180436E-4</v>
      </c>
      <c r="S52" s="606">
        <v>1.25081817289955E-2</v>
      </c>
      <c r="T52" s="606">
        <v>1.4131069907787499E-2</v>
      </c>
      <c r="U52" s="606">
        <v>8.5232652124944902E-4</v>
      </c>
      <c r="V52" s="606">
        <v>0</v>
      </c>
      <c r="W52" s="606">
        <v>8.22003048171326E-5</v>
      </c>
      <c r="X52" s="606">
        <v>9.3452682606658198E-4</v>
      </c>
      <c r="Y52" s="606">
        <v>3.0545010327217401E-3</v>
      </c>
      <c r="Z52" s="606">
        <v>2.91857573676562E-2</v>
      </c>
      <c r="AA52" s="606">
        <v>3.3174785226444597E-2</v>
      </c>
      <c r="AB52" s="606">
        <v>307.39673357086099</v>
      </c>
      <c r="AC52" s="606">
        <v>1.62756853748138</v>
      </c>
      <c r="AD52" s="606">
        <v>3.8371053917765501</v>
      </c>
      <c r="AE52" s="606">
        <v>312.86140750011901</v>
      </c>
      <c r="AF52" s="606">
        <v>6.8427615801652201E-4</v>
      </c>
      <c r="AG52" s="606">
        <v>1.3350050231952799E-3</v>
      </c>
      <c r="AH52" s="606">
        <v>2.0914558205916002E-3</v>
      </c>
      <c r="AI52" s="606">
        <v>4.1107370018034E-3</v>
      </c>
      <c r="AJ52" s="606">
        <v>3.6756091759823002E-3</v>
      </c>
      <c r="AK52" s="606">
        <v>3.6105400113790103E-5</v>
      </c>
      <c r="AL52" s="606">
        <v>6.6067241191190796E-3</v>
      </c>
      <c r="AM52" s="606">
        <v>1.03184386952151E-2</v>
      </c>
      <c r="AN52" s="606">
        <v>2.2205294258076601E-3</v>
      </c>
      <c r="AO52" s="606">
        <v>4.4144063393012503E-3</v>
      </c>
      <c r="AP52" s="606">
        <v>8.9368305626476505E-3</v>
      </c>
      <c r="AQ52" s="606">
        <v>1.55717663277565E-2</v>
      </c>
      <c r="AR52" s="606">
        <v>3.33940104480451E-4</v>
      </c>
      <c r="AS52" s="606">
        <v>1.2238552114635501E-2</v>
      </c>
      <c r="AT52" s="606">
        <v>6.6270414246140399E-2</v>
      </c>
      <c r="AU52" s="606">
        <v>2.6313305109376098E-4</v>
      </c>
      <c r="AV52" s="606">
        <v>9.4677805844106802E-2</v>
      </c>
      <c r="AW52" s="606">
        <v>3.24019132562978E-3</v>
      </c>
      <c r="AX52" s="606">
        <v>6.4414913678554299E-3</v>
      </c>
      <c r="AY52" s="606">
        <v>9.7847045675385699E-3</v>
      </c>
      <c r="AZ52" s="606">
        <v>1.9466387261023701E-2</v>
      </c>
      <c r="BA52" s="606">
        <v>3.33940104480451E-4</v>
      </c>
      <c r="BB52" s="606">
        <v>1.2238552114630499E-2</v>
      </c>
      <c r="BC52" s="606">
        <v>6.6270414246113102E-2</v>
      </c>
      <c r="BD52" s="606">
        <v>2.6313305109376098E-4</v>
      </c>
      <c r="BE52" s="606">
        <v>9.8572426777341696E-2</v>
      </c>
      <c r="BF52" s="606">
        <v>5.6813698011136303E-2</v>
      </c>
      <c r="BG52" s="606">
        <v>6.3506132776219804E-2</v>
      </c>
      <c r="BH52" s="606">
        <v>0.34577650727098802</v>
      </c>
      <c r="BI52" s="606">
        <v>0.466096338058344</v>
      </c>
      <c r="BJ52" s="606">
        <v>3.0419398716763899E-3</v>
      </c>
      <c r="BK52" s="606">
        <v>1.6106110076505898E-5</v>
      </c>
      <c r="BL52" s="606">
        <v>3.7971268423965997E-5</v>
      </c>
      <c r="BM52" s="606">
        <v>3.0960172501768601E-3</v>
      </c>
      <c r="BN52" s="608">
        <v>33.023523531415897</v>
      </c>
      <c r="BO52" s="602"/>
    </row>
    <row r="53" spans="1:68">
      <c r="A53" s="607" t="s">
        <v>76</v>
      </c>
      <c r="B53" s="606">
        <v>2050</v>
      </c>
      <c r="C53" s="606" t="s">
        <v>140</v>
      </c>
      <c r="D53" s="606" t="s">
        <v>586</v>
      </c>
      <c r="E53" s="606" t="s">
        <v>586</v>
      </c>
      <c r="F53" s="606" t="s">
        <v>569</v>
      </c>
      <c r="G53" s="606">
        <v>2382.4172480042598</v>
      </c>
      <c r="H53" s="606">
        <v>52821.517388572298</v>
      </c>
      <c r="I53" s="606">
        <v>35494.467193563898</v>
      </c>
      <c r="J53" s="606">
        <v>9.3561946822991598E-3</v>
      </c>
      <c r="K53" s="606">
        <v>5.9637129252535898E-5</v>
      </c>
      <c r="L53" s="606">
        <v>1.21732816914875E-2</v>
      </c>
      <c r="M53" s="606">
        <v>2.1589113503039201E-2</v>
      </c>
      <c r="N53" s="606">
        <v>1.1974440303326E-4</v>
      </c>
      <c r="O53" s="606">
        <v>0</v>
      </c>
      <c r="P53" s="606">
        <v>1.1885508253708801E-5</v>
      </c>
      <c r="Q53" s="606">
        <v>1.31629911286969E-4</v>
      </c>
      <c r="R53" s="606">
        <v>1.16451512155225E-4</v>
      </c>
      <c r="S53" s="606">
        <v>2.2253883972863501E-3</v>
      </c>
      <c r="T53" s="606">
        <v>2.4734698207285401E-3</v>
      </c>
      <c r="U53" s="606">
        <v>1.3023296388288899E-4</v>
      </c>
      <c r="V53" s="606">
        <v>0</v>
      </c>
      <c r="W53" s="606">
        <v>1.2926574670092099E-5</v>
      </c>
      <c r="X53" s="606">
        <v>1.4315953855298101E-4</v>
      </c>
      <c r="Y53" s="606">
        <v>4.6580604862089998E-4</v>
      </c>
      <c r="Z53" s="606">
        <v>5.1925729270014803E-3</v>
      </c>
      <c r="AA53" s="606">
        <v>5.8015385141753596E-3</v>
      </c>
      <c r="AB53" s="606">
        <v>53.689672521788196</v>
      </c>
      <c r="AC53" s="606">
        <v>0.29258888677038702</v>
      </c>
      <c r="AD53" s="606">
        <v>0.68249776995788203</v>
      </c>
      <c r="AE53" s="606">
        <v>54.664759178516498</v>
      </c>
      <c r="AF53" s="606">
        <v>1.0405422182169499E-4</v>
      </c>
      <c r="AG53" s="606">
        <v>2.0714001826309999E-4</v>
      </c>
      <c r="AH53" s="606">
        <v>3.2325483631984598E-4</v>
      </c>
      <c r="AI53" s="606">
        <v>6.3444907640464198E-4</v>
      </c>
      <c r="AJ53" s="606">
        <v>5.9671724514063704E-4</v>
      </c>
      <c r="AK53" s="606">
        <v>5.5658638953196901E-6</v>
      </c>
      <c r="AL53" s="606">
        <v>1.0109378224723599E-3</v>
      </c>
      <c r="AM53" s="606">
        <v>1.61322093150832E-3</v>
      </c>
      <c r="AN53" s="606">
        <v>3.3841986754681202E-4</v>
      </c>
      <c r="AO53" s="606">
        <v>6.84952801935574E-4</v>
      </c>
      <c r="AP53" s="606">
        <v>1.3783535499957099E-3</v>
      </c>
      <c r="AQ53" s="606">
        <v>2.4017262194781001E-3</v>
      </c>
      <c r="AR53" s="606">
        <v>5.24306463018998E-5</v>
      </c>
      <c r="AS53" s="606">
        <v>1.9222151412331401E-3</v>
      </c>
      <c r="AT53" s="606">
        <v>1.0428889748093501E-2</v>
      </c>
      <c r="AU53" s="606">
        <v>4.1328257595135802E-5</v>
      </c>
      <c r="AV53" s="606">
        <v>1.4846590012701799E-2</v>
      </c>
      <c r="AW53" s="606">
        <v>4.9382147631172203E-4</v>
      </c>
      <c r="AX53" s="606">
        <v>9.9948152071446502E-4</v>
      </c>
      <c r="AY53" s="606">
        <v>1.5091236408459399E-3</v>
      </c>
      <c r="AZ53" s="606">
        <v>3.00242663787212E-3</v>
      </c>
      <c r="BA53" s="606">
        <v>5.24306463018998E-5</v>
      </c>
      <c r="BB53" s="606">
        <v>1.9222151412323499E-3</v>
      </c>
      <c r="BC53" s="606">
        <v>1.04288897480892E-2</v>
      </c>
      <c r="BD53" s="606">
        <v>4.1328257595135802E-5</v>
      </c>
      <c r="BE53" s="606">
        <v>1.54472904310907E-2</v>
      </c>
      <c r="BF53" s="606">
        <v>8.6738719861083197E-3</v>
      </c>
      <c r="BG53" s="606">
        <v>9.9305720428993095E-3</v>
      </c>
      <c r="BH53" s="606">
        <v>5.41886632030373E-2</v>
      </c>
      <c r="BI53" s="606">
        <v>7.2793107232044907E-2</v>
      </c>
      <c r="BJ53" s="606">
        <v>5.3130283345586302E-4</v>
      </c>
      <c r="BK53" s="606">
        <v>2.8954042235165101E-6</v>
      </c>
      <c r="BL53" s="606">
        <v>6.7538687046149601E-6</v>
      </c>
      <c r="BM53" s="606">
        <v>5.4095210638399496E-4</v>
      </c>
      <c r="BN53" s="608">
        <v>5.7700404006212702</v>
      </c>
      <c r="BO53" s="602"/>
    </row>
    <row r="54" spans="1:68">
      <c r="A54" s="607" t="s">
        <v>76</v>
      </c>
      <c r="B54" s="606">
        <v>2050</v>
      </c>
      <c r="C54" s="606" t="s">
        <v>139</v>
      </c>
      <c r="D54" s="606" t="s">
        <v>586</v>
      </c>
      <c r="E54" s="606" t="s">
        <v>586</v>
      </c>
      <c r="F54" s="606" t="s">
        <v>569</v>
      </c>
      <c r="G54" s="606">
        <v>35345.177768898997</v>
      </c>
      <c r="H54" s="606">
        <v>195191.84864622101</v>
      </c>
      <c r="I54" s="606">
        <v>70690.355537797994</v>
      </c>
      <c r="J54" s="606">
        <v>0.24592400715075299</v>
      </c>
      <c r="K54" s="606">
        <v>0</v>
      </c>
      <c r="L54" s="606">
        <v>2.1344646657604101E-2</v>
      </c>
      <c r="M54" s="606">
        <v>0.26726865380835702</v>
      </c>
      <c r="N54" s="606">
        <v>4.57437466749354E-4</v>
      </c>
      <c r="O54" s="606">
        <v>0</v>
      </c>
      <c r="P54" s="606">
        <v>2.2488489859157499E-4</v>
      </c>
      <c r="Q54" s="606">
        <v>6.8232236534093E-4</v>
      </c>
      <c r="R54" s="606">
        <v>2.15162182562971E-4</v>
      </c>
      <c r="S54" s="606">
        <v>1.0844174001173701E-3</v>
      </c>
      <c r="T54" s="606">
        <v>1.9819019480212699E-3</v>
      </c>
      <c r="U54" s="606">
        <v>4.9070562158280804E-4</v>
      </c>
      <c r="V54" s="606">
        <v>0</v>
      </c>
      <c r="W54" s="606">
        <v>2.4125132798117699E-4</v>
      </c>
      <c r="X54" s="606">
        <v>7.3195694956398503E-4</v>
      </c>
      <c r="Y54" s="606">
        <v>8.6064873025188597E-4</v>
      </c>
      <c r="Z54" s="606">
        <v>2.5303072669405399E-3</v>
      </c>
      <c r="AA54" s="606">
        <v>4.1229129467564097E-3</v>
      </c>
      <c r="AB54" s="606">
        <v>45.706953239836999</v>
      </c>
      <c r="AC54" s="606">
        <v>0</v>
      </c>
      <c r="AD54" s="606">
        <v>4.48418139541345</v>
      </c>
      <c r="AE54" s="606">
        <v>50.1911346352504</v>
      </c>
      <c r="AF54" s="606">
        <v>6.8218674422519707E-2</v>
      </c>
      <c r="AG54" s="606">
        <v>0</v>
      </c>
      <c r="AH54" s="606">
        <v>1.9055608148585899E-2</v>
      </c>
      <c r="AI54" s="606">
        <v>8.7274282571105699E-2</v>
      </c>
      <c r="AJ54" s="606">
        <v>1.4102619963446399E-2</v>
      </c>
      <c r="AK54" s="606">
        <v>0</v>
      </c>
      <c r="AL54" s="606">
        <v>1.20833354407897E-3</v>
      </c>
      <c r="AM54" s="606">
        <v>1.5310953507525401E-2</v>
      </c>
      <c r="AN54" s="606">
        <v>0.455419709045423</v>
      </c>
      <c r="AO54" s="606">
        <v>0</v>
      </c>
      <c r="AP54" s="606">
        <v>0.14427511391034201</v>
      </c>
      <c r="AQ54" s="606">
        <v>0.59969482295576604</v>
      </c>
      <c r="AR54" s="606">
        <v>5.4031405770390999E-2</v>
      </c>
      <c r="AS54" s="606">
        <v>4.5450742981419601E-2</v>
      </c>
      <c r="AT54" s="606">
        <v>9.7440425253572605E-2</v>
      </c>
      <c r="AU54" s="606">
        <v>3.32749458449796E-2</v>
      </c>
      <c r="AV54" s="606">
        <v>0.829892342806129</v>
      </c>
      <c r="AW54" s="606">
        <v>0.57214407628305497</v>
      </c>
      <c r="AX54" s="606">
        <v>0</v>
      </c>
      <c r="AY54" s="606">
        <v>0.15722167902333001</v>
      </c>
      <c r="AZ54" s="606">
        <v>0.72936575530638503</v>
      </c>
      <c r="BA54" s="606">
        <v>5.4031405770390999E-2</v>
      </c>
      <c r="BB54" s="606">
        <v>4.54507429814009E-2</v>
      </c>
      <c r="BC54" s="606">
        <v>9.7440425253532498E-2</v>
      </c>
      <c r="BD54" s="606">
        <v>3.32749458449796E-2</v>
      </c>
      <c r="BE54" s="606">
        <v>0.95956327515668904</v>
      </c>
      <c r="BF54" s="606">
        <v>3.72877109623838</v>
      </c>
      <c r="BG54" s="606">
        <v>0</v>
      </c>
      <c r="BH54" s="606">
        <v>0.74265039005456002</v>
      </c>
      <c r="BI54" s="606">
        <v>4.4714214862929396</v>
      </c>
      <c r="BJ54" s="606">
        <v>4.5230735492203099E-4</v>
      </c>
      <c r="BK54" s="606">
        <v>0</v>
      </c>
      <c r="BL54" s="606">
        <v>4.4374610035969099E-5</v>
      </c>
      <c r="BM54" s="606">
        <v>4.9668196495800002E-4</v>
      </c>
      <c r="BN54" s="608">
        <v>5.2978350028519401</v>
      </c>
      <c r="BO54" s="602"/>
    </row>
    <row r="55" spans="1:68">
      <c r="A55" s="607" t="s">
        <v>76</v>
      </c>
      <c r="B55" s="606">
        <v>2050</v>
      </c>
      <c r="C55" s="606" t="s">
        <v>138</v>
      </c>
      <c r="D55" s="606" t="s">
        <v>586</v>
      </c>
      <c r="E55" s="606" t="s">
        <v>586</v>
      </c>
      <c r="F55" s="606" t="s">
        <v>569</v>
      </c>
      <c r="G55" s="606">
        <v>156573.31098341401</v>
      </c>
      <c r="H55" s="606">
        <v>3201125.5422487902</v>
      </c>
      <c r="I55" s="606">
        <v>721132.64445430902</v>
      </c>
      <c r="J55" s="606">
        <v>6.3300498126278304E-2</v>
      </c>
      <c r="K55" s="606">
        <v>0</v>
      </c>
      <c r="L55" s="606">
        <v>0.106602310714195</v>
      </c>
      <c r="M55" s="606">
        <v>0.16990280884047401</v>
      </c>
      <c r="N55" s="606">
        <v>1.6022107411673E-3</v>
      </c>
      <c r="O55" s="606">
        <v>0</v>
      </c>
      <c r="P55" s="606">
        <v>4.9441451597862505E-4</v>
      </c>
      <c r="Q55" s="606">
        <v>2.09662525714592E-3</v>
      </c>
      <c r="R55" s="606">
        <v>7.0572737858196196E-3</v>
      </c>
      <c r="S55" s="606">
        <v>5.5576031063329499E-2</v>
      </c>
      <c r="T55" s="606">
        <v>6.4729930106295103E-2</v>
      </c>
      <c r="U55" s="606">
        <v>1.74255036813086E-3</v>
      </c>
      <c r="V55" s="606">
        <v>0</v>
      </c>
      <c r="W55" s="606">
        <v>5.37720896940256E-4</v>
      </c>
      <c r="X55" s="606">
        <v>2.28027126507111E-3</v>
      </c>
      <c r="Y55" s="606">
        <v>2.8229095143278499E-2</v>
      </c>
      <c r="Z55" s="606">
        <v>0.12967740581443499</v>
      </c>
      <c r="AA55" s="606">
        <v>0.16018677222278499</v>
      </c>
      <c r="AB55" s="606">
        <v>923.00076099700004</v>
      </c>
      <c r="AC55" s="606">
        <v>0</v>
      </c>
      <c r="AD55" s="606">
        <v>43.639367800874702</v>
      </c>
      <c r="AE55" s="606">
        <v>966.64012879787504</v>
      </c>
      <c r="AF55" s="606">
        <v>2.6098040972819501E-3</v>
      </c>
      <c r="AG55" s="606">
        <v>0</v>
      </c>
      <c r="AH55" s="606">
        <v>1.88268963160808E-2</v>
      </c>
      <c r="AI55" s="606">
        <v>2.1436700413362798E-2</v>
      </c>
      <c r="AJ55" s="606">
        <v>9.7211225564787802E-3</v>
      </c>
      <c r="AK55" s="606">
        <v>0</v>
      </c>
      <c r="AL55" s="606">
        <v>1.5775470266401598E-2</v>
      </c>
      <c r="AM55" s="606">
        <v>2.5496592822880401E-2</v>
      </c>
      <c r="AN55" s="606">
        <v>7.81150942020569E-3</v>
      </c>
      <c r="AO55" s="606">
        <v>0</v>
      </c>
      <c r="AP55" s="606">
        <v>7.3073562651234797E-2</v>
      </c>
      <c r="AQ55" s="606">
        <v>8.0885072071440495E-2</v>
      </c>
      <c r="AR55" s="606">
        <v>2.69262436118895E-2</v>
      </c>
      <c r="AS55" s="606">
        <v>4.6981660925703397E-2</v>
      </c>
      <c r="AT55" s="606">
        <v>0.139093827179116</v>
      </c>
      <c r="AU55" s="606">
        <v>3.1611454533230797E-2</v>
      </c>
      <c r="AV55" s="606">
        <v>0.32549825832138002</v>
      </c>
      <c r="AW55" s="606">
        <v>1.1398536209093301E-2</v>
      </c>
      <c r="AX55" s="606">
        <v>0</v>
      </c>
      <c r="AY55" s="606">
        <v>8.0006353172709696E-2</v>
      </c>
      <c r="AZ55" s="606">
        <v>9.1404889381802995E-2</v>
      </c>
      <c r="BA55" s="606">
        <v>2.69262436118895E-2</v>
      </c>
      <c r="BB55" s="606">
        <v>4.6981660925684003E-2</v>
      </c>
      <c r="BC55" s="606">
        <v>0.13909382717905799</v>
      </c>
      <c r="BD55" s="606">
        <v>3.1611454533230797E-2</v>
      </c>
      <c r="BE55" s="606">
        <v>0.33601807563166602</v>
      </c>
      <c r="BF55" s="606">
        <v>1.4285267498701999</v>
      </c>
      <c r="BG55" s="606">
        <v>0</v>
      </c>
      <c r="BH55" s="606">
        <v>1.5528652493063599</v>
      </c>
      <c r="BI55" s="606">
        <v>2.9813919991765698</v>
      </c>
      <c r="BJ55" s="606">
        <v>9.1338407661289908E-3</v>
      </c>
      <c r="BK55" s="606">
        <v>0</v>
      </c>
      <c r="BL55" s="606">
        <v>4.3184692090304902E-4</v>
      </c>
      <c r="BM55" s="606">
        <v>9.5656876870320404E-3</v>
      </c>
      <c r="BN55" s="608">
        <v>102.03196135578099</v>
      </c>
      <c r="BO55" s="602"/>
    </row>
    <row r="56" spans="1:68">
      <c r="A56" s="607" t="s">
        <v>76</v>
      </c>
      <c r="B56" s="606">
        <v>2050</v>
      </c>
      <c r="C56" s="606" t="s">
        <v>137</v>
      </c>
      <c r="D56" s="606" t="s">
        <v>586</v>
      </c>
      <c r="E56" s="606" t="s">
        <v>586</v>
      </c>
      <c r="F56" s="606" t="s">
        <v>569</v>
      </c>
      <c r="G56" s="606">
        <v>2524.9896537306299</v>
      </c>
      <c r="H56" s="606">
        <v>16439.438964794099</v>
      </c>
      <c r="I56" s="606">
        <v>252.599964959212</v>
      </c>
      <c r="J56" s="606">
        <v>3.9452438298126198E-3</v>
      </c>
      <c r="K56" s="606">
        <v>0</v>
      </c>
      <c r="L56" s="606">
        <v>7.2404912635041398E-5</v>
      </c>
      <c r="M56" s="606">
        <v>4.0176487424476602E-3</v>
      </c>
      <c r="N56" s="606">
        <v>2.35255569436621E-5</v>
      </c>
      <c r="O56" s="606">
        <v>0</v>
      </c>
      <c r="P56" s="606">
        <v>8.2772540286349197E-8</v>
      </c>
      <c r="Q56" s="606">
        <v>2.36083294839484E-5</v>
      </c>
      <c r="R56" s="606">
        <v>5.4364138548430998E-5</v>
      </c>
      <c r="S56" s="606">
        <v>1.0122602597717799E-3</v>
      </c>
      <c r="T56" s="606">
        <v>1.09023272780416E-3</v>
      </c>
      <c r="U56" s="606">
        <v>2.5586189668654401E-5</v>
      </c>
      <c r="V56" s="606">
        <v>0</v>
      </c>
      <c r="W56" s="606">
        <v>9.0022689800481997E-8</v>
      </c>
      <c r="X56" s="606">
        <v>2.56762123584549E-5</v>
      </c>
      <c r="Y56" s="606">
        <v>2.1745655419372399E-4</v>
      </c>
      <c r="Z56" s="606">
        <v>2.3619406061341601E-3</v>
      </c>
      <c r="AA56" s="606">
        <v>2.60507337268634E-3</v>
      </c>
      <c r="AB56" s="606">
        <v>25.099987053263799</v>
      </c>
      <c r="AC56" s="606">
        <v>0</v>
      </c>
      <c r="AD56" s="606">
        <v>5.3080668508434497E-3</v>
      </c>
      <c r="AE56" s="606">
        <v>25.105295120114601</v>
      </c>
      <c r="AF56" s="606">
        <v>4.6838684584702899E-5</v>
      </c>
      <c r="AG56" s="606">
        <v>0</v>
      </c>
      <c r="AH56" s="606">
        <v>7.5559671117917903E-6</v>
      </c>
      <c r="AI56" s="606">
        <v>5.4394651696494703E-5</v>
      </c>
      <c r="AJ56" s="606">
        <v>3.2270677886633999E-4</v>
      </c>
      <c r="AK56" s="606">
        <v>0</v>
      </c>
      <c r="AL56" s="606">
        <v>8.3716549581052202E-6</v>
      </c>
      <c r="AM56" s="606">
        <v>3.3107843382444501E-4</v>
      </c>
      <c r="AN56" s="606">
        <v>1.31066669647007E-4</v>
      </c>
      <c r="AO56" s="606">
        <v>0</v>
      </c>
      <c r="AP56" s="606">
        <v>2.5744404271016799E-5</v>
      </c>
      <c r="AQ56" s="606">
        <v>1.5681107391802399E-4</v>
      </c>
      <c r="AR56" s="606">
        <v>7.7156482523405405E-5</v>
      </c>
      <c r="AS56" s="606">
        <v>5.6601889599003104E-6</v>
      </c>
      <c r="AT56" s="606">
        <v>7.0724055971709603E-5</v>
      </c>
      <c r="AU56" s="606">
        <v>4.49023114445555E-5</v>
      </c>
      <c r="AV56" s="606">
        <v>3.55254112817595E-4</v>
      </c>
      <c r="AW56" s="606">
        <v>1.91252176680771E-4</v>
      </c>
      <c r="AX56" s="606">
        <v>0</v>
      </c>
      <c r="AY56" s="606">
        <v>2.81868821718546E-5</v>
      </c>
      <c r="AZ56" s="606">
        <v>2.1943905885262599E-4</v>
      </c>
      <c r="BA56" s="606">
        <v>7.7156482523405405E-5</v>
      </c>
      <c r="BB56" s="606">
        <v>5.6601889598979802E-6</v>
      </c>
      <c r="BC56" s="606">
        <v>7.0724055971680398E-5</v>
      </c>
      <c r="BD56" s="606">
        <v>4.49023114445555E-5</v>
      </c>
      <c r="BE56" s="606">
        <v>4.1788209775216499E-4</v>
      </c>
      <c r="BF56" s="606">
        <v>2.7267073088063499E-3</v>
      </c>
      <c r="BG56" s="606">
        <v>0</v>
      </c>
      <c r="BH56" s="606">
        <v>4.83879743331559E-4</v>
      </c>
      <c r="BI56" s="606">
        <v>3.2105870521379099E-3</v>
      </c>
      <c r="BJ56" s="606">
        <v>2.4838471934602902E-4</v>
      </c>
      <c r="BK56" s="606">
        <v>0</v>
      </c>
      <c r="BL56" s="606">
        <v>5.25276245050998E-8</v>
      </c>
      <c r="BM56" s="606">
        <v>2.4843724697053398E-4</v>
      </c>
      <c r="BN56" s="608">
        <v>2.64994430213298</v>
      </c>
      <c r="BO56" s="602"/>
    </row>
    <row r="57" spans="1:68">
      <c r="A57" s="607" t="s">
        <v>76</v>
      </c>
      <c r="B57" s="606">
        <v>2050</v>
      </c>
      <c r="C57" s="606" t="s">
        <v>136</v>
      </c>
      <c r="D57" s="606" t="s">
        <v>586</v>
      </c>
      <c r="E57" s="606" t="s">
        <v>586</v>
      </c>
      <c r="F57" s="606" t="s">
        <v>569</v>
      </c>
      <c r="G57" s="606">
        <v>432.12560272416499</v>
      </c>
      <c r="H57" s="606">
        <v>16503.482926987501</v>
      </c>
      <c r="I57" s="606">
        <v>8645.9690593051091</v>
      </c>
      <c r="J57" s="606">
        <v>9.0030518235877793E-3</v>
      </c>
      <c r="K57" s="606">
        <v>3.1126426192977001E-5</v>
      </c>
      <c r="L57" s="606">
        <v>3.9479337127477096E-3</v>
      </c>
      <c r="M57" s="606">
        <v>1.29821119625284E-2</v>
      </c>
      <c r="N57" s="606">
        <v>2.3452658805527101E-5</v>
      </c>
      <c r="O57" s="606">
        <v>0</v>
      </c>
      <c r="P57" s="606">
        <v>2.7112490671685699E-6</v>
      </c>
      <c r="Q57" s="606">
        <v>2.6163907872695699E-5</v>
      </c>
      <c r="R57" s="606">
        <v>5.45759277001977E-5</v>
      </c>
      <c r="S57" s="606">
        <v>1.01620377377768E-3</v>
      </c>
      <c r="T57" s="606">
        <v>1.09694360935057E-3</v>
      </c>
      <c r="U57" s="606">
        <v>2.55069062921426E-5</v>
      </c>
      <c r="V57" s="606">
        <v>0</v>
      </c>
      <c r="W57" s="606">
        <v>2.94873073728553E-6</v>
      </c>
      <c r="X57" s="606">
        <v>2.84556370294281E-5</v>
      </c>
      <c r="Y57" s="606">
        <v>2.1830371080079099E-4</v>
      </c>
      <c r="Z57" s="606">
        <v>2.3711421388145902E-3</v>
      </c>
      <c r="AA57" s="606">
        <v>2.6179014866448101E-3</v>
      </c>
      <c r="AB57" s="606">
        <v>25.231287942669098</v>
      </c>
      <c r="AC57" s="606">
        <v>0.14346885672563001</v>
      </c>
      <c r="AD57" s="606">
        <v>0.185755240892996</v>
      </c>
      <c r="AE57" s="606">
        <v>25.560512040287701</v>
      </c>
      <c r="AF57" s="606">
        <v>3.7007741252333297E-5</v>
      </c>
      <c r="AG57" s="606">
        <v>9.8130000195852893E-5</v>
      </c>
      <c r="AH57" s="606">
        <v>2.15210364979459E-4</v>
      </c>
      <c r="AI57" s="606">
        <v>3.5034810642764502E-4</v>
      </c>
      <c r="AJ57" s="606">
        <v>4.3125124456063E-4</v>
      </c>
      <c r="AK57" s="606">
        <v>3.2451740567155198E-6</v>
      </c>
      <c r="AL57" s="606">
        <v>2.7464157884240099E-4</v>
      </c>
      <c r="AM57" s="606">
        <v>7.0913799745974705E-4</v>
      </c>
      <c r="AN57" s="606">
        <v>1.33723935457165E-4</v>
      </c>
      <c r="AO57" s="606">
        <v>3.5749763783631298E-4</v>
      </c>
      <c r="AP57" s="606">
        <v>1.0270104116901801E-3</v>
      </c>
      <c r="AQ57" s="606">
        <v>1.5182319849836601E-3</v>
      </c>
      <c r="AR57" s="606">
        <v>1.37008264657459E-5</v>
      </c>
      <c r="AS57" s="606">
        <v>2.0138124710326801E-4</v>
      </c>
      <c r="AT57" s="606">
        <v>2.5488435494808001E-3</v>
      </c>
      <c r="AU57" s="606">
        <v>8.0254558546024096E-6</v>
      </c>
      <c r="AV57" s="606">
        <v>4.2901830638880801E-3</v>
      </c>
      <c r="AW57" s="606">
        <v>1.9512965271324201E-4</v>
      </c>
      <c r="AX57" s="606">
        <v>5.2165971393467695E-4</v>
      </c>
      <c r="AY57" s="606">
        <v>1.12444712873659E-3</v>
      </c>
      <c r="AZ57" s="606">
        <v>1.8412364953845101E-3</v>
      </c>
      <c r="BA57" s="606">
        <v>1.37008264657459E-5</v>
      </c>
      <c r="BB57" s="606">
        <v>2.0138124710318599E-4</v>
      </c>
      <c r="BC57" s="606">
        <v>2.5488435494797502E-3</v>
      </c>
      <c r="BD57" s="606">
        <v>8.0254558546024096E-6</v>
      </c>
      <c r="BE57" s="606">
        <v>4.6131875742878E-3</v>
      </c>
      <c r="BF57" s="606">
        <v>3.0578404488410798E-3</v>
      </c>
      <c r="BG57" s="606">
        <v>2.76285009860068E-3</v>
      </c>
      <c r="BH57" s="606">
        <v>1.67176671966895E-2</v>
      </c>
      <c r="BI57" s="606">
        <v>2.25383577441313E-2</v>
      </c>
      <c r="BJ57" s="606">
        <v>2.4968404808654198E-4</v>
      </c>
      <c r="BK57" s="606">
        <v>1.4197406411832201E-6</v>
      </c>
      <c r="BL57" s="606">
        <v>1.83819869222846E-6</v>
      </c>
      <c r="BM57" s="606">
        <v>2.52941987419953E-4</v>
      </c>
      <c r="BN57" s="608">
        <v>2.69799390593472</v>
      </c>
      <c r="BO57" s="602"/>
    </row>
    <row r="58" spans="1:68">
      <c r="A58" s="607" t="s">
        <v>76</v>
      </c>
      <c r="B58" s="606">
        <v>2050</v>
      </c>
      <c r="C58" s="606" t="s">
        <v>135</v>
      </c>
      <c r="D58" s="606" t="s">
        <v>586</v>
      </c>
      <c r="E58" s="606" t="s">
        <v>586</v>
      </c>
      <c r="F58" s="606" t="s">
        <v>569</v>
      </c>
      <c r="G58" s="606">
        <v>367.45855795171298</v>
      </c>
      <c r="H58" s="606">
        <v>13455.505398277501</v>
      </c>
      <c r="I58" s="606">
        <v>1469.8342318068501</v>
      </c>
      <c r="J58" s="606">
        <v>2.7313890372429399E-3</v>
      </c>
      <c r="K58" s="606">
        <v>3.7529448184770798E-4</v>
      </c>
      <c r="L58" s="606">
        <v>7.93888806910141E-4</v>
      </c>
      <c r="M58" s="606">
        <v>3.9005723260007899E-3</v>
      </c>
      <c r="N58" s="606">
        <v>2.2121647886692701E-5</v>
      </c>
      <c r="O58" s="606">
        <v>0</v>
      </c>
      <c r="P58" s="606">
        <v>1.10005960835005E-6</v>
      </c>
      <c r="Q58" s="606">
        <v>2.3221707495042799E-5</v>
      </c>
      <c r="R58" s="606">
        <v>2.9664311589451E-5</v>
      </c>
      <c r="S58" s="606">
        <v>4.7344240673813298E-3</v>
      </c>
      <c r="T58" s="606">
        <v>4.7873100864658201E-3</v>
      </c>
      <c r="U58" s="606">
        <v>2.4059310475308099E-5</v>
      </c>
      <c r="V58" s="606">
        <v>0</v>
      </c>
      <c r="W58" s="606">
        <v>1.1964151944829099E-6</v>
      </c>
      <c r="X58" s="606">
        <v>2.5255725669790999E-5</v>
      </c>
      <c r="Y58" s="606">
        <v>1.18657246357804E-4</v>
      </c>
      <c r="Z58" s="606">
        <v>1.1046989490556399E-2</v>
      </c>
      <c r="AA58" s="606">
        <v>1.1190902462584E-2</v>
      </c>
      <c r="AB58" s="606">
        <v>10.1981317314108</v>
      </c>
      <c r="AC58" s="606">
        <v>0.84739766343749301</v>
      </c>
      <c r="AD58" s="606">
        <v>6.0912030204970699E-2</v>
      </c>
      <c r="AE58" s="606">
        <v>11.1064414250532</v>
      </c>
      <c r="AF58" s="606">
        <v>3.3547665392810697E-5</v>
      </c>
      <c r="AG58" s="606">
        <v>9.7433113560737303E-4</v>
      </c>
      <c r="AH58" s="606">
        <v>8.4131872155454503E-5</v>
      </c>
      <c r="AI58" s="606">
        <v>1.09201067315563E-3</v>
      </c>
      <c r="AJ58" s="606">
        <v>2.0561593751783401E-4</v>
      </c>
      <c r="AK58" s="606">
        <v>4.0260378073447499E-5</v>
      </c>
      <c r="AL58" s="606">
        <v>7.2960494653826301E-5</v>
      </c>
      <c r="AM58" s="606">
        <v>3.1883681024510801E-4</v>
      </c>
      <c r="AN58" s="606">
        <v>1.48549568149861E-4</v>
      </c>
      <c r="AO58" s="606">
        <v>4.31038532730205E-3</v>
      </c>
      <c r="AP58" s="606">
        <v>4.7851550841068301E-4</v>
      </c>
      <c r="AQ58" s="606">
        <v>4.9374504038626E-3</v>
      </c>
      <c r="AR58" s="606">
        <v>1.3466745643172701E-5</v>
      </c>
      <c r="AS58" s="606">
        <v>1.4470074106358999E-4</v>
      </c>
      <c r="AT58" s="606">
        <v>9.7453445520233101E-4</v>
      </c>
      <c r="AU58" s="606">
        <v>7.9520722572853596E-6</v>
      </c>
      <c r="AV58" s="606">
        <v>6.0781044180289803E-3</v>
      </c>
      <c r="AW58" s="606">
        <v>2.16763181136479E-4</v>
      </c>
      <c r="AX58" s="606">
        <v>6.2897041513268999E-3</v>
      </c>
      <c r="AY58" s="606">
        <v>5.2391424990795804E-4</v>
      </c>
      <c r="AZ58" s="606">
        <v>7.03038158237134E-3</v>
      </c>
      <c r="BA58" s="606">
        <v>1.3466745643172701E-5</v>
      </c>
      <c r="BB58" s="606">
        <v>1.4470074106353001E-4</v>
      </c>
      <c r="BC58" s="606">
        <v>9.7453445520192996E-4</v>
      </c>
      <c r="BD58" s="606">
        <v>7.9520722572853596E-6</v>
      </c>
      <c r="BE58" s="606">
        <v>8.1710355965372607E-3</v>
      </c>
      <c r="BF58" s="606">
        <v>2.99005503665377E-3</v>
      </c>
      <c r="BG58" s="606">
        <v>3.33119642373585E-2</v>
      </c>
      <c r="BH58" s="606">
        <v>9.8431216088855893E-3</v>
      </c>
      <c r="BI58" s="606">
        <v>4.6145140882897902E-2</v>
      </c>
      <c r="BJ58" s="606">
        <v>1.0091878065853099E-4</v>
      </c>
      <c r="BK58" s="606">
        <v>8.3856868276763895E-6</v>
      </c>
      <c r="BL58" s="606">
        <v>6.0277391757822102E-7</v>
      </c>
      <c r="BM58" s="606">
        <v>1.09907241403785E-4</v>
      </c>
      <c r="BN58" s="608">
        <v>1.17232046189781</v>
      </c>
      <c r="BO58" s="602"/>
    </row>
    <row r="59" spans="1:68">
      <c r="A59" s="607" t="s">
        <v>76</v>
      </c>
      <c r="B59" s="606">
        <v>2050</v>
      </c>
      <c r="C59" s="606" t="s">
        <v>134</v>
      </c>
      <c r="D59" s="606" t="s">
        <v>586</v>
      </c>
      <c r="E59" s="606" t="s">
        <v>586</v>
      </c>
      <c r="F59" s="606" t="s">
        <v>569</v>
      </c>
      <c r="G59" s="606">
        <v>2006.04134080124</v>
      </c>
      <c r="H59" s="606">
        <v>80406.268534864299</v>
      </c>
      <c r="I59" s="606">
        <v>40136.875146751197</v>
      </c>
      <c r="J59" s="606">
        <v>7.7834189617251104E-3</v>
      </c>
      <c r="K59" s="606">
        <v>1.9803327968921801E-4</v>
      </c>
      <c r="L59" s="606">
        <v>2.7307605831111199E-2</v>
      </c>
      <c r="M59" s="606">
        <v>3.5289058072525602E-2</v>
      </c>
      <c r="N59" s="606">
        <v>1.15101620959198E-4</v>
      </c>
      <c r="O59" s="606">
        <v>0</v>
      </c>
      <c r="P59" s="606">
        <v>1.7817102498586301E-5</v>
      </c>
      <c r="Q59" s="606">
        <v>1.3291872345778401E-4</v>
      </c>
      <c r="R59" s="606">
        <v>2.65898217825613E-4</v>
      </c>
      <c r="S59" s="606">
        <v>4.9510248159129302E-3</v>
      </c>
      <c r="T59" s="606">
        <v>5.3498417571963301E-3</v>
      </c>
      <c r="U59" s="606">
        <v>1.25183514765843E-4</v>
      </c>
      <c r="V59" s="606">
        <v>0</v>
      </c>
      <c r="W59" s="606">
        <v>1.9377724615250799E-5</v>
      </c>
      <c r="X59" s="606">
        <v>1.4456123938109399E-4</v>
      </c>
      <c r="Y59" s="606">
        <v>1.06359287130245E-3</v>
      </c>
      <c r="Z59" s="606">
        <v>1.1552391237130101E-2</v>
      </c>
      <c r="AA59" s="606">
        <v>1.27605453478137E-2</v>
      </c>
      <c r="AB59" s="606">
        <v>122.368441557407</v>
      </c>
      <c r="AC59" s="606">
        <v>0.94260571360706102</v>
      </c>
      <c r="AD59" s="606">
        <v>1.2513255309603699</v>
      </c>
      <c r="AE59" s="606">
        <v>124.56237280197401</v>
      </c>
      <c r="AF59" s="606">
        <v>1.8006182560792501E-4</v>
      </c>
      <c r="AG59" s="606">
        <v>6.0975267327499703E-4</v>
      </c>
      <c r="AH59" s="606">
        <v>1.2989522014494499E-3</v>
      </c>
      <c r="AI59" s="606">
        <v>2.0887667003323699E-3</v>
      </c>
      <c r="AJ59" s="606">
        <v>7.2622654161690395E-4</v>
      </c>
      <c r="AK59" s="606">
        <v>1.7781210935296199E-5</v>
      </c>
      <c r="AL59" s="606">
        <v>1.8851252790400899E-3</v>
      </c>
      <c r="AM59" s="606">
        <v>2.6291330315922901E-3</v>
      </c>
      <c r="AN59" s="606">
        <v>6.7263032277558004E-4</v>
      </c>
      <c r="AO59" s="606">
        <v>2.2744798668164101E-3</v>
      </c>
      <c r="AP59" s="606">
        <v>6.3303527314480896E-3</v>
      </c>
      <c r="AQ59" s="606">
        <v>9.2774629210400899E-3</v>
      </c>
      <c r="AR59" s="606">
        <v>4.1287983991995401E-5</v>
      </c>
      <c r="AS59" s="606">
        <v>2.1640983432622898E-3</v>
      </c>
      <c r="AT59" s="606">
        <v>1.12049950434798E-2</v>
      </c>
      <c r="AU59" s="606">
        <v>3.2369940881045602E-5</v>
      </c>
      <c r="AV59" s="606">
        <v>2.27202142326552E-2</v>
      </c>
      <c r="AW59" s="606">
        <v>9.8150058805020093E-4</v>
      </c>
      <c r="AX59" s="606">
        <v>3.3189156825055599E-3</v>
      </c>
      <c r="AY59" s="606">
        <v>6.9309394254846203E-3</v>
      </c>
      <c r="AZ59" s="606">
        <v>1.12313556960403E-2</v>
      </c>
      <c r="BA59" s="606">
        <v>4.1287983991995401E-5</v>
      </c>
      <c r="BB59" s="606">
        <v>2.1640983432613999E-3</v>
      </c>
      <c r="BC59" s="606">
        <v>1.12049950434752E-2</v>
      </c>
      <c r="BD59" s="606">
        <v>3.2369940881045602E-5</v>
      </c>
      <c r="BE59" s="606">
        <v>2.4674107007649999E-2</v>
      </c>
      <c r="BF59" s="606">
        <v>1.5198925439582201E-2</v>
      </c>
      <c r="BG59" s="606">
        <v>3.3834673825486897E-2</v>
      </c>
      <c r="BH59" s="606">
        <v>0.104194963113451</v>
      </c>
      <c r="BI59" s="606">
        <v>0.15322856237852001</v>
      </c>
      <c r="BJ59" s="606">
        <v>1.21093492791643E-3</v>
      </c>
      <c r="BK59" s="606">
        <v>9.3278476650771303E-6</v>
      </c>
      <c r="BL59" s="606">
        <v>1.2382880523346599E-5</v>
      </c>
      <c r="BM59" s="606">
        <v>1.23264565610486E-3</v>
      </c>
      <c r="BN59" s="608">
        <v>13.1479573726377</v>
      </c>
      <c r="BO59" s="602"/>
    </row>
    <row r="60" spans="1:68">
      <c r="A60" s="607" t="s">
        <v>76</v>
      </c>
      <c r="B60" s="606">
        <v>2050</v>
      </c>
      <c r="C60" s="606" t="s">
        <v>133</v>
      </c>
      <c r="D60" s="606" t="s">
        <v>586</v>
      </c>
      <c r="E60" s="606" t="s">
        <v>586</v>
      </c>
      <c r="F60" s="606" t="s">
        <v>569</v>
      </c>
      <c r="G60" s="606">
        <v>7.8460079883083198</v>
      </c>
      <c r="H60" s="606">
        <v>747.95628332134299</v>
      </c>
      <c r="I60" s="606">
        <v>156.98292783007199</v>
      </c>
      <c r="J60" s="606">
        <v>2.5732188341021402E-3</v>
      </c>
      <c r="K60" s="606">
        <v>0</v>
      </c>
      <c r="L60" s="606">
        <v>4.18544620384358E-4</v>
      </c>
      <c r="M60" s="606">
        <v>2.9917634544864998E-3</v>
      </c>
      <c r="N60" s="606">
        <v>8.9348624754915399E-7</v>
      </c>
      <c r="O60" s="606">
        <v>0</v>
      </c>
      <c r="P60" s="606">
        <v>6.9737199282624896E-8</v>
      </c>
      <c r="Q60" s="606">
        <v>9.6322344683177902E-7</v>
      </c>
      <c r="R60" s="606">
        <v>4.1224033559104098E-6</v>
      </c>
      <c r="S60" s="606">
        <v>2.18157585594779E-5</v>
      </c>
      <c r="T60" s="606">
        <v>2.6901385362220099E-5</v>
      </c>
      <c r="U60" s="606">
        <v>9.7174781667754692E-7</v>
      </c>
      <c r="V60" s="606">
        <v>0</v>
      </c>
      <c r="W60" s="606">
        <v>7.5845567103000802E-8</v>
      </c>
      <c r="X60" s="606">
        <v>1.04759338378054E-6</v>
      </c>
      <c r="Y60" s="606">
        <v>1.6489613423641598E-5</v>
      </c>
      <c r="Z60" s="606">
        <v>5.0903436638781701E-5</v>
      </c>
      <c r="AA60" s="606">
        <v>6.8440643446203995E-5</v>
      </c>
      <c r="AB60" s="606">
        <v>1.24754408050383</v>
      </c>
      <c r="AC60" s="606">
        <v>0</v>
      </c>
      <c r="AD60" s="606">
        <v>5.81848273228698E-3</v>
      </c>
      <c r="AE60" s="606">
        <v>1.2533625632361101</v>
      </c>
      <c r="AF60" s="606">
        <v>5.6252210347071198E-5</v>
      </c>
      <c r="AG60" s="606">
        <v>0</v>
      </c>
      <c r="AH60" s="606">
        <v>0</v>
      </c>
      <c r="AI60" s="606">
        <v>5.6252210347071198E-5</v>
      </c>
      <c r="AJ60" s="606">
        <v>1.01458454034158E-4</v>
      </c>
      <c r="AK60" s="606">
        <v>0</v>
      </c>
      <c r="AL60" s="606">
        <v>1.68359715861967E-5</v>
      </c>
      <c r="AM60" s="606">
        <v>1.18294425620355E-4</v>
      </c>
      <c r="AN60" s="606">
        <v>2.4976262671375999E-4</v>
      </c>
      <c r="AO60" s="606">
        <v>0</v>
      </c>
      <c r="AP60" s="606">
        <v>0</v>
      </c>
      <c r="AQ60" s="606">
        <v>2.4976262671375999E-4</v>
      </c>
      <c r="AR60" s="606">
        <v>1.6708616833979099E-7</v>
      </c>
      <c r="AS60" s="606">
        <v>8.7837182622064192E-6</v>
      </c>
      <c r="AT60" s="606">
        <v>4.5427029793758901E-5</v>
      </c>
      <c r="AU60" s="606">
        <v>1.3126986036685201E-7</v>
      </c>
      <c r="AV60" s="606">
        <v>3.0427173079843202E-4</v>
      </c>
      <c r="AW60" s="606">
        <v>3.6445303860365601E-4</v>
      </c>
      <c r="AX60" s="606">
        <v>0</v>
      </c>
      <c r="AY60" s="606">
        <v>0</v>
      </c>
      <c r="AZ60" s="606">
        <v>3.6445303860365601E-4</v>
      </c>
      <c r="BA60" s="606">
        <v>1.6708616833979099E-7</v>
      </c>
      <c r="BB60" s="606">
        <v>8.7837182622028007E-6</v>
      </c>
      <c r="BC60" s="606">
        <v>4.5427029793740199E-5</v>
      </c>
      <c r="BD60" s="606">
        <v>1.3126986036685201E-7</v>
      </c>
      <c r="BE60" s="606">
        <v>4.1896214268830599E-4</v>
      </c>
      <c r="BF60" s="606">
        <v>2.3487648290634398E-2</v>
      </c>
      <c r="BG60" s="606">
        <v>0</v>
      </c>
      <c r="BH60" s="606">
        <v>6.9686388961582798E-4</v>
      </c>
      <c r="BI60" s="606">
        <v>2.4184512180250198E-2</v>
      </c>
      <c r="BJ60" s="606">
        <v>1.23454600056238E-5</v>
      </c>
      <c r="BK60" s="606">
        <v>0</v>
      </c>
      <c r="BL60" s="606">
        <v>5.7578603423657602E-8</v>
      </c>
      <c r="BM60" s="606">
        <v>1.2403038609047399E-5</v>
      </c>
      <c r="BN60" s="608">
        <v>0.13229643256785401</v>
      </c>
      <c r="BO60" s="602"/>
    </row>
    <row r="61" spans="1:68">
      <c r="A61" s="607" t="s">
        <v>76</v>
      </c>
      <c r="B61" s="606">
        <v>2050</v>
      </c>
      <c r="C61" s="606" t="s">
        <v>132</v>
      </c>
      <c r="D61" s="606" t="s">
        <v>586</v>
      </c>
      <c r="E61" s="606" t="s">
        <v>586</v>
      </c>
      <c r="F61" s="606" t="s">
        <v>569</v>
      </c>
      <c r="G61" s="606">
        <v>38.484320381778403</v>
      </c>
      <c r="H61" s="606">
        <v>932.341101401316</v>
      </c>
      <c r="I61" s="606">
        <v>153.93728152711299</v>
      </c>
      <c r="J61" s="606">
        <v>2.6474072534903698E-4</v>
      </c>
      <c r="K61" s="606">
        <v>0</v>
      </c>
      <c r="L61" s="606">
        <v>1.4384388880225399E-4</v>
      </c>
      <c r="M61" s="606">
        <v>4.0858461415129197E-4</v>
      </c>
      <c r="N61" s="606">
        <v>2.2395607237520399E-6</v>
      </c>
      <c r="O61" s="606">
        <v>0</v>
      </c>
      <c r="P61" s="606">
        <v>1.4222081878777499E-7</v>
      </c>
      <c r="Q61" s="606">
        <v>2.38178154253982E-6</v>
      </c>
      <c r="R61" s="606">
        <v>2.8464518594791002E-6</v>
      </c>
      <c r="S61" s="606">
        <v>5.3232938381718901E-5</v>
      </c>
      <c r="T61" s="606">
        <v>5.8461171783737898E-5</v>
      </c>
      <c r="U61" s="606">
        <v>2.4357266265624401E-6</v>
      </c>
      <c r="V61" s="606">
        <v>0</v>
      </c>
      <c r="W61" s="606">
        <v>1.5467811678378399E-7</v>
      </c>
      <c r="X61" s="606">
        <v>2.5904047433462198E-6</v>
      </c>
      <c r="Y61" s="606">
        <v>1.1385807437916401E-5</v>
      </c>
      <c r="Z61" s="606">
        <v>1.24210189557344E-4</v>
      </c>
      <c r="AA61" s="606">
        <v>1.38186401738606E-4</v>
      </c>
      <c r="AB61" s="606">
        <v>1.5885621899051401</v>
      </c>
      <c r="AC61" s="606">
        <v>0</v>
      </c>
      <c r="AD61" s="606">
        <v>1.2654286381648699E-2</v>
      </c>
      <c r="AE61" s="606">
        <v>1.60121647628679</v>
      </c>
      <c r="AF61" s="606">
        <v>5.2305601150768096E-6</v>
      </c>
      <c r="AG61" s="606">
        <v>0</v>
      </c>
      <c r="AH61" s="606">
        <v>1.7478325667238298E-5</v>
      </c>
      <c r="AI61" s="606">
        <v>2.2708885782315199E-5</v>
      </c>
      <c r="AJ61" s="606">
        <v>2.06957503964948E-5</v>
      </c>
      <c r="AK61" s="606">
        <v>0</v>
      </c>
      <c r="AL61" s="606">
        <v>1.11327172119477E-5</v>
      </c>
      <c r="AM61" s="606">
        <v>3.1828467608442501E-5</v>
      </c>
      <c r="AN61" s="606">
        <v>1.9158719575635299E-5</v>
      </c>
      <c r="AO61" s="606">
        <v>0</v>
      </c>
      <c r="AP61" s="606">
        <v>8.5737387122351898E-5</v>
      </c>
      <c r="AQ61" s="606">
        <v>1.04896106697987E-4</v>
      </c>
      <c r="AR61" s="606">
        <v>3.7283010195340301E-7</v>
      </c>
      <c r="AS61" s="606">
        <v>5.6746701900077204E-6</v>
      </c>
      <c r="AT61" s="606">
        <v>2.91941612355167E-5</v>
      </c>
      <c r="AU61" s="606">
        <v>2.6423147603560401E-7</v>
      </c>
      <c r="AV61" s="606">
        <v>1.4040199970150001E-4</v>
      </c>
      <c r="AW61" s="606">
        <v>2.7956358631261001E-5</v>
      </c>
      <c r="AX61" s="606">
        <v>0</v>
      </c>
      <c r="AY61" s="606">
        <v>9.38716469450844E-5</v>
      </c>
      <c r="AZ61" s="606">
        <v>1.21828005576345E-4</v>
      </c>
      <c r="BA61" s="606">
        <v>3.7283010195340301E-7</v>
      </c>
      <c r="BB61" s="606">
        <v>5.6746701900053902E-6</v>
      </c>
      <c r="BC61" s="606">
        <v>2.91941612355047E-5</v>
      </c>
      <c r="BD61" s="606">
        <v>2.6423147603560401E-7</v>
      </c>
      <c r="BE61" s="606">
        <v>1.57333898579844E-4</v>
      </c>
      <c r="BF61" s="606">
        <v>3.40229611422967E-4</v>
      </c>
      <c r="BG61" s="606">
        <v>0</v>
      </c>
      <c r="BH61" s="606">
        <v>1.39861116616733E-3</v>
      </c>
      <c r="BI61" s="606">
        <v>1.7388407775902901E-3</v>
      </c>
      <c r="BJ61" s="606">
        <v>1.57201106465111E-5</v>
      </c>
      <c r="BK61" s="606">
        <v>0</v>
      </c>
      <c r="BL61" s="606">
        <v>1.25224422019029E-7</v>
      </c>
      <c r="BM61" s="606">
        <v>1.58453350685301E-5</v>
      </c>
      <c r="BN61" s="608">
        <v>0.16901352712711201</v>
      </c>
      <c r="BO61" s="602"/>
    </row>
    <row r="62" spans="1:68">
      <c r="A62" s="607" t="s">
        <v>76</v>
      </c>
      <c r="B62" s="606">
        <v>2050</v>
      </c>
      <c r="C62" s="606" t="s">
        <v>150</v>
      </c>
      <c r="D62" s="606" t="s">
        <v>586</v>
      </c>
      <c r="E62" s="606" t="s">
        <v>586</v>
      </c>
      <c r="F62" s="606" t="s">
        <v>11</v>
      </c>
      <c r="G62" s="606">
        <v>243.157479272779</v>
      </c>
      <c r="H62" s="606">
        <v>9914.5546102873195</v>
      </c>
      <c r="I62" s="606">
        <v>948.31416916383898</v>
      </c>
      <c r="J62" s="606">
        <v>3.5000809988683401E-3</v>
      </c>
      <c r="K62" s="606">
        <v>4.7802418544466898E-3</v>
      </c>
      <c r="L62" s="606">
        <v>0</v>
      </c>
      <c r="M62" s="606">
        <v>8.2803228533150398E-3</v>
      </c>
      <c r="N62" s="606">
        <v>2.88594224676413E-5</v>
      </c>
      <c r="O62" s="606">
        <v>1.6470325725298799E-6</v>
      </c>
      <c r="P62" s="606">
        <v>0</v>
      </c>
      <c r="Q62" s="606">
        <v>3.0506455040171199E-5</v>
      </c>
      <c r="R62" s="606">
        <v>9.8360331207275297E-5</v>
      </c>
      <c r="S62" s="606">
        <v>2.89179373749389E-4</v>
      </c>
      <c r="T62" s="606">
        <v>4.18046159996835E-4</v>
      </c>
      <c r="U62" s="606">
        <v>3.0164317489837498E-5</v>
      </c>
      <c r="V62" s="606">
        <v>1.7215040768608799E-6</v>
      </c>
      <c r="W62" s="606">
        <v>0</v>
      </c>
      <c r="X62" s="606">
        <v>3.1885821566698398E-5</v>
      </c>
      <c r="Y62" s="606">
        <v>3.9344132482910103E-4</v>
      </c>
      <c r="Z62" s="606">
        <v>6.7475187208190801E-4</v>
      </c>
      <c r="AA62" s="606">
        <v>1.1000790184777E-3</v>
      </c>
      <c r="AB62" s="606">
        <v>26.166926209781099</v>
      </c>
      <c r="AC62" s="606">
        <v>0.80731523583875897</v>
      </c>
      <c r="AD62" s="606">
        <v>0</v>
      </c>
      <c r="AE62" s="606">
        <v>26.9742414456198</v>
      </c>
      <c r="AF62" s="606">
        <v>3.3256182755682803E-2</v>
      </c>
      <c r="AG62" s="606">
        <v>3.1037818167163698E-4</v>
      </c>
      <c r="AH62" s="606">
        <v>0</v>
      </c>
      <c r="AI62" s="606">
        <v>3.3566560937354398E-2</v>
      </c>
      <c r="AJ62" s="606">
        <v>5.3342990853081501E-3</v>
      </c>
      <c r="AK62" s="606">
        <v>1.64576492078778E-4</v>
      </c>
      <c r="AL62" s="606">
        <v>0</v>
      </c>
      <c r="AM62" s="606">
        <v>5.4988755773869302E-3</v>
      </c>
      <c r="AN62" s="606">
        <v>4.8402164049880802E-4</v>
      </c>
      <c r="AO62" s="606">
        <v>4.4758631672179904E-6</v>
      </c>
      <c r="AP62" s="606">
        <v>0</v>
      </c>
      <c r="AQ62" s="606">
        <v>4.8849750366602605E-4</v>
      </c>
      <c r="AR62" s="606">
        <v>0</v>
      </c>
      <c r="AS62" s="606">
        <v>0</v>
      </c>
      <c r="AT62" s="606">
        <v>0</v>
      </c>
      <c r="AU62" s="606">
        <v>0</v>
      </c>
      <c r="AV62" s="606">
        <v>4.8849750366602605E-4</v>
      </c>
      <c r="AW62" s="606">
        <v>3.3950464578736003E-2</v>
      </c>
      <c r="AX62" s="606">
        <v>3.16810609711721E-4</v>
      </c>
      <c r="AY62" s="606">
        <v>0</v>
      </c>
      <c r="AZ62" s="606">
        <v>3.4267275188447702E-2</v>
      </c>
      <c r="BA62" s="606">
        <v>0</v>
      </c>
      <c r="BB62" s="606">
        <v>0</v>
      </c>
      <c r="BC62" s="606">
        <v>0</v>
      </c>
      <c r="BD62" s="606">
        <v>0</v>
      </c>
      <c r="BE62" s="606">
        <v>3.4267275188447702E-2</v>
      </c>
      <c r="BF62" s="606">
        <v>0.12256351413321701</v>
      </c>
      <c r="BG62" s="606">
        <v>5.90113471627842E-3</v>
      </c>
      <c r="BH62" s="606">
        <v>0</v>
      </c>
      <c r="BI62" s="606">
        <v>0.12846464884949599</v>
      </c>
      <c r="BJ62" s="606">
        <v>0</v>
      </c>
      <c r="BK62" s="606">
        <v>0</v>
      </c>
      <c r="BL62" s="606">
        <v>0</v>
      </c>
      <c r="BM62" s="606">
        <v>0</v>
      </c>
      <c r="BN62" s="608">
        <v>3.1178109004198502</v>
      </c>
      <c r="BO62" s="602"/>
    </row>
    <row r="63" spans="1:68" ht="14.5" thickBot="1">
      <c r="A63" s="609" t="s">
        <v>76</v>
      </c>
      <c r="B63" s="610">
        <v>2050</v>
      </c>
      <c r="C63" s="610" t="s">
        <v>132</v>
      </c>
      <c r="D63" s="610" t="s">
        <v>586</v>
      </c>
      <c r="E63" s="610" t="s">
        <v>586</v>
      </c>
      <c r="F63" s="610" t="s">
        <v>11</v>
      </c>
      <c r="G63" s="610">
        <v>99.9240427487467</v>
      </c>
      <c r="H63" s="610">
        <v>7832.70222454949</v>
      </c>
      <c r="I63" s="610">
        <v>399.69617099498703</v>
      </c>
      <c r="J63" s="610">
        <v>4.0733328484452002E-3</v>
      </c>
      <c r="K63" s="610">
        <v>0</v>
      </c>
      <c r="L63" s="610">
        <v>0</v>
      </c>
      <c r="M63" s="610">
        <v>4.0733328484452002E-3</v>
      </c>
      <c r="N63" s="610">
        <v>2.65788278480823E-5</v>
      </c>
      <c r="O63" s="610">
        <v>0</v>
      </c>
      <c r="P63" s="610">
        <v>0</v>
      </c>
      <c r="Q63" s="610">
        <v>2.65788278480823E-5</v>
      </c>
      <c r="R63" s="610">
        <v>6.8840371100454902E-5</v>
      </c>
      <c r="S63" s="610">
        <v>2.7190279665883799E-4</v>
      </c>
      <c r="T63" s="610">
        <v>3.6732199560737501E-4</v>
      </c>
      <c r="U63" s="610">
        <v>2.7780604501570801E-5</v>
      </c>
      <c r="V63" s="610">
        <v>0</v>
      </c>
      <c r="W63" s="610">
        <v>0</v>
      </c>
      <c r="X63" s="610">
        <v>2.7780604501570801E-5</v>
      </c>
      <c r="Y63" s="610">
        <v>2.7536148440181901E-4</v>
      </c>
      <c r="Z63" s="610">
        <v>6.3443985887062305E-4</v>
      </c>
      <c r="AA63" s="610">
        <v>9.3758194777401297E-4</v>
      </c>
      <c r="AB63" s="610">
        <v>16.878724487342499</v>
      </c>
      <c r="AC63" s="610">
        <v>0</v>
      </c>
      <c r="AD63" s="610">
        <v>0</v>
      </c>
      <c r="AE63" s="610">
        <v>16.878724487342499</v>
      </c>
      <c r="AF63" s="610">
        <v>5.2822486090953601E-2</v>
      </c>
      <c r="AG63" s="610">
        <v>0</v>
      </c>
      <c r="AH63" s="610">
        <v>0</v>
      </c>
      <c r="AI63" s="610">
        <v>5.2822486090953601E-2</v>
      </c>
      <c r="AJ63" s="610">
        <v>3.4408384031114998E-3</v>
      </c>
      <c r="AK63" s="610">
        <v>0</v>
      </c>
      <c r="AL63" s="610">
        <v>0</v>
      </c>
      <c r="AM63" s="610">
        <v>3.4408384031114998E-3</v>
      </c>
      <c r="AN63" s="610">
        <v>7.5472910032246604E-4</v>
      </c>
      <c r="AO63" s="610">
        <v>0</v>
      </c>
      <c r="AP63" s="610">
        <v>0</v>
      </c>
      <c r="AQ63" s="610">
        <v>7.5472910032246604E-4</v>
      </c>
      <c r="AR63" s="610">
        <v>0</v>
      </c>
      <c r="AS63" s="610">
        <v>0</v>
      </c>
      <c r="AT63" s="610">
        <v>0</v>
      </c>
      <c r="AU63" s="610">
        <v>0</v>
      </c>
      <c r="AV63" s="610">
        <v>7.5472910032246604E-4</v>
      </c>
      <c r="AW63" s="610">
        <v>5.3909221451604698E-2</v>
      </c>
      <c r="AX63" s="610">
        <v>0</v>
      </c>
      <c r="AY63" s="610">
        <v>0</v>
      </c>
      <c r="AZ63" s="610">
        <v>5.3909221451604698E-2</v>
      </c>
      <c r="BA63" s="610">
        <v>0</v>
      </c>
      <c r="BB63" s="610">
        <v>0</v>
      </c>
      <c r="BC63" s="610">
        <v>0</v>
      </c>
      <c r="BD63" s="610">
        <v>0</v>
      </c>
      <c r="BE63" s="610">
        <v>5.3909221451604698E-2</v>
      </c>
      <c r="BF63" s="610">
        <v>0.40814319160706902</v>
      </c>
      <c r="BG63" s="610">
        <v>0</v>
      </c>
      <c r="BH63" s="610">
        <v>0</v>
      </c>
      <c r="BI63" s="610">
        <v>0.40814319160706902</v>
      </c>
      <c r="BJ63" s="610">
        <v>0</v>
      </c>
      <c r="BK63" s="610">
        <v>0</v>
      </c>
      <c r="BL63" s="610">
        <v>0</v>
      </c>
      <c r="BM63" s="610">
        <v>0</v>
      </c>
      <c r="BN63" s="611">
        <v>1.9509231167041901</v>
      </c>
      <c r="BO63" s="602"/>
    </row>
    <row r="64" spans="1:68" ht="14.5" thickBot="1">
      <c r="A64" s="604"/>
      <c r="B64" s="604"/>
      <c r="C64" s="604"/>
      <c r="D64" s="604"/>
      <c r="E64" s="604"/>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M64" s="613"/>
      <c r="AN64" s="613"/>
      <c r="AO64" s="613"/>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603"/>
      <c r="BP64" s="603"/>
    </row>
    <row r="65" spans="5:69" ht="15.75" customHeight="1">
      <c r="E65" s="612"/>
      <c r="F65" s="1310" t="s">
        <v>282</v>
      </c>
      <c r="G65" s="1311"/>
      <c r="H65" s="1311"/>
      <c r="I65" s="1311"/>
      <c r="J65" s="1311"/>
      <c r="K65" s="1311"/>
      <c r="L65" s="1311"/>
      <c r="M65" s="1311"/>
      <c r="N65" s="1311"/>
      <c r="O65" s="1311"/>
      <c r="P65" s="1311"/>
      <c r="Q65" s="1311"/>
      <c r="R65" s="1311"/>
      <c r="S65" s="1311"/>
      <c r="T65" s="1311"/>
      <c r="U65" s="1311"/>
      <c r="V65" s="1311"/>
      <c r="W65" s="1311"/>
      <c r="X65" s="1311"/>
      <c r="Y65" s="1311"/>
      <c r="Z65" s="1311"/>
      <c r="AA65" s="1311"/>
      <c r="AB65" s="1311"/>
      <c r="AC65" s="1311"/>
      <c r="AD65" s="1311"/>
      <c r="AE65" s="1311"/>
      <c r="AF65" s="1311"/>
      <c r="AG65" s="1311"/>
      <c r="AH65" s="1311"/>
      <c r="AI65" s="1311"/>
      <c r="AJ65" s="1311"/>
      <c r="AK65" s="1311"/>
      <c r="AL65" s="1311"/>
      <c r="AM65" s="1311"/>
      <c r="AN65" s="1311"/>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2"/>
      <c r="BQ65" s="602"/>
    </row>
    <row r="66" spans="5:69">
      <c r="E66" s="612"/>
      <c r="F66" s="621" t="s">
        <v>129</v>
      </c>
      <c r="G66" s="523"/>
      <c r="H66" s="627" t="s">
        <v>128</v>
      </c>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7"/>
      <c r="AY66" s="627"/>
      <c r="AZ66" s="627"/>
      <c r="BA66" s="627"/>
      <c r="BB66" s="627"/>
      <c r="BC66" s="627"/>
      <c r="BD66" s="627"/>
      <c r="BE66" s="627"/>
      <c r="BF66" s="627"/>
      <c r="BG66" s="627"/>
      <c r="BH66" s="627"/>
      <c r="BI66" s="627" t="s">
        <v>127</v>
      </c>
      <c r="BJ66" s="627" t="s">
        <v>126</v>
      </c>
      <c r="BK66" s="627" t="s">
        <v>235</v>
      </c>
      <c r="BL66" s="606"/>
      <c r="BM66" s="606"/>
      <c r="BN66" s="627" t="s">
        <v>127</v>
      </c>
      <c r="BO66" s="628" t="s">
        <v>126</v>
      </c>
      <c r="BP66" s="631" t="s">
        <v>235</v>
      </c>
      <c r="BQ66" s="602"/>
    </row>
    <row r="67" spans="5:69">
      <c r="E67" s="612"/>
      <c r="F67" s="621" t="s">
        <v>125</v>
      </c>
      <c r="G67" s="523"/>
      <c r="H67" s="622">
        <f>SUM(H10:BM44)</f>
        <v>2027857.67001896</v>
      </c>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526"/>
      <c r="AU67" s="526"/>
      <c r="AV67" s="526"/>
      <c r="AW67" s="526"/>
      <c r="AX67" s="526"/>
      <c r="AY67" s="526"/>
      <c r="AZ67" s="526"/>
      <c r="BA67" s="526"/>
      <c r="BB67" s="526"/>
      <c r="BC67" s="526"/>
      <c r="BD67" s="526"/>
      <c r="BE67" s="526"/>
      <c r="BF67" s="526"/>
      <c r="BG67" s="526"/>
      <c r="BH67" s="526"/>
      <c r="BI67" s="526">
        <f>SUM(BF15:BF51)*1000</f>
        <v>6236.1233586790013</v>
      </c>
      <c r="BJ67" s="623">
        <f>H67/BI67</f>
        <v>325.1792104459783</v>
      </c>
      <c r="BK67" s="629">
        <f>H67/SUM(H67:H68)</f>
        <v>7.6812719369106233E-2</v>
      </c>
      <c r="BL67" s="606"/>
      <c r="BM67" s="606"/>
      <c r="BN67" s="526">
        <f>SUM(BN10:BN44)*1000</f>
        <v>95745.044926242641</v>
      </c>
      <c r="BO67" s="625">
        <f>H67/BN67</f>
        <v>21.179766238358589</v>
      </c>
      <c r="BP67" s="624">
        <f>H67/$H$70</f>
        <v>7.6812719369106233E-2</v>
      </c>
      <c r="BQ67" s="602"/>
    </row>
    <row r="68" spans="5:69">
      <c r="E68" s="612"/>
      <c r="F68" s="621" t="s">
        <v>124</v>
      </c>
      <c r="G68" s="523"/>
      <c r="H68" s="526">
        <f>SUM(H45:BM63)</f>
        <v>24372166.787838683</v>
      </c>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526"/>
      <c r="AU68" s="526"/>
      <c r="AV68" s="526"/>
      <c r="AW68" s="526"/>
      <c r="AX68" s="526"/>
      <c r="AY68" s="526"/>
      <c r="AZ68" s="526"/>
      <c r="BA68" s="526"/>
      <c r="BB68" s="526"/>
      <c r="BC68" s="526"/>
      <c r="BD68" s="526"/>
      <c r="BE68" s="526"/>
      <c r="BF68" s="526"/>
      <c r="BG68" s="526"/>
      <c r="BH68" s="526"/>
      <c r="BI68" s="526">
        <f>SUM(BF52:BF63)*1000</f>
        <v>5801.2935279820522</v>
      </c>
      <c r="BJ68" s="623">
        <f>H68/BI68</f>
        <v>4201.1607704870621</v>
      </c>
      <c r="BK68" s="629">
        <f>H68/SUM(H67:H68)</f>
        <v>0.92318728063089373</v>
      </c>
      <c r="BL68" s="606"/>
      <c r="BM68" s="606"/>
      <c r="BN68" s="526">
        <f>SUM(BN49:BN63)*1000</f>
        <v>534097.92508598114</v>
      </c>
      <c r="BO68" s="625">
        <f>H68/BN68</f>
        <v>45.632393692439749</v>
      </c>
      <c r="BP68" s="624">
        <f t="shared" ref="BP68:BP69" si="0">H68/$H$70</f>
        <v>0.92318728063089373</v>
      </c>
      <c r="BQ68" s="602"/>
    </row>
    <row r="69" spans="5:69" ht="14.5" thickBot="1">
      <c r="E69" s="612"/>
      <c r="F69" s="621" t="s">
        <v>234</v>
      </c>
      <c r="G69" s="523"/>
      <c r="H69" s="526">
        <f>SUM(H45:H48)</f>
        <v>985211.5902248472</v>
      </c>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6"/>
      <c r="AY69" s="526"/>
      <c r="AZ69" s="526"/>
      <c r="BA69" s="526"/>
      <c r="BB69" s="526"/>
      <c r="BC69" s="526"/>
      <c r="BD69" s="526"/>
      <c r="BE69" s="526"/>
      <c r="BF69" s="526"/>
      <c r="BG69" s="526"/>
      <c r="BH69" s="526"/>
      <c r="BI69" s="526" t="s">
        <v>27</v>
      </c>
      <c r="BJ69" s="623" t="s">
        <v>27</v>
      </c>
      <c r="BK69" s="629">
        <f>H69/SUM(H67:H68)</f>
        <v>3.731858626864306E-2</v>
      </c>
      <c r="BL69" s="606"/>
      <c r="BM69" s="606"/>
      <c r="BN69" s="626" t="s">
        <v>27</v>
      </c>
      <c r="BO69" s="634" t="s">
        <v>27</v>
      </c>
      <c r="BP69" s="624">
        <f t="shared" si="0"/>
        <v>3.731858626864306E-2</v>
      </c>
      <c r="BQ69" s="602"/>
    </row>
    <row r="70" spans="5:69" ht="14.5" thickBot="1">
      <c r="E70" s="612"/>
      <c r="F70" s="632" t="s">
        <v>265</v>
      </c>
      <c r="G70" s="525"/>
      <c r="H70" s="527">
        <f>SUM(H67:H68)</f>
        <v>26400024.457857642</v>
      </c>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c r="BL70" s="610"/>
      <c r="BM70" s="633"/>
      <c r="BN70" s="614"/>
      <c r="BO70" s="635"/>
      <c r="BP70" s="636"/>
      <c r="BQ70" s="605"/>
    </row>
    <row r="71" spans="5:69" s="604" customFormat="1">
      <c r="BN71" s="601"/>
      <c r="BP71" s="601"/>
    </row>
  </sheetData>
  <autoFilter ref="A9:BN63" xr:uid="{19A0624B-C105-450F-9A55-8E574D095F6F}">
    <sortState xmlns:xlrd2="http://schemas.microsoft.com/office/spreadsheetml/2017/richdata2" ref="A10:BN63">
      <sortCondition ref="F9:F63"/>
    </sortState>
  </autoFilter>
  <mergeCells count="1">
    <mergeCell ref="F65:BP6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99"/>
  <sheetViews>
    <sheetView topLeftCell="A31" zoomScale="85" zoomScaleNormal="85" workbookViewId="0">
      <selection activeCell="G58" sqref="G58"/>
    </sheetView>
  </sheetViews>
  <sheetFormatPr defaultRowHeight="14"/>
  <cols>
    <col min="1" max="1" width="40.9140625" customWidth="1"/>
    <col min="2" max="2" width="31.6640625" customWidth="1"/>
    <col min="3" max="3" width="24.08203125" customWidth="1"/>
    <col min="4" max="4" width="28.9140625" customWidth="1"/>
  </cols>
  <sheetData>
    <row r="1" spans="1:4" ht="18.75" customHeight="1">
      <c r="A1" s="150" t="s">
        <v>296</v>
      </c>
    </row>
    <row r="2" spans="1:4">
      <c r="A2" t="s">
        <v>1</v>
      </c>
      <c r="B2" t="s">
        <v>8</v>
      </c>
      <c r="C2" t="s">
        <v>289</v>
      </c>
      <c r="D2" t="s">
        <v>40</v>
      </c>
    </row>
    <row r="3" spans="1:4" ht="15.75" customHeight="1">
      <c r="A3" t="s">
        <v>2</v>
      </c>
      <c r="B3" t="s">
        <v>10</v>
      </c>
      <c r="C3" s="149">
        <v>1912</v>
      </c>
      <c r="D3">
        <v>2.4748965040928401E-2</v>
      </c>
    </row>
    <row r="4" spans="1:4">
      <c r="B4" t="s">
        <v>11</v>
      </c>
      <c r="C4" s="149">
        <v>3799</v>
      </c>
      <c r="D4">
        <v>4.9174329597535038E-2</v>
      </c>
    </row>
    <row r="5" spans="1:4" ht="15.75" customHeight="1">
      <c r="A5" t="s">
        <v>3</v>
      </c>
      <c r="B5" t="s">
        <v>10</v>
      </c>
      <c r="C5" s="149">
        <v>13054</v>
      </c>
      <c r="D5">
        <v>0.16897122889345154</v>
      </c>
    </row>
    <row r="6" spans="1:4">
      <c r="B6" t="s">
        <v>11</v>
      </c>
      <c r="C6" s="149">
        <v>5207</v>
      </c>
      <c r="D6">
        <v>6.7399508874536704E-2</v>
      </c>
    </row>
    <row r="7" spans="1:4">
      <c r="A7" t="s">
        <v>12</v>
      </c>
      <c r="B7" t="s">
        <v>10</v>
      </c>
      <c r="C7" s="149">
        <v>5327</v>
      </c>
      <c r="D7">
        <v>6.895279119928116E-2</v>
      </c>
    </row>
    <row r="8" spans="1:4">
      <c r="A8" t="s">
        <v>19</v>
      </c>
      <c r="B8" t="s">
        <v>20</v>
      </c>
      <c r="C8" s="149">
        <v>2449</v>
      </c>
      <c r="D8">
        <v>3.1699903444159856E-2</v>
      </c>
    </row>
    <row r="9" spans="1:4" ht="15.75" customHeight="1">
      <c r="A9" t="s">
        <v>4</v>
      </c>
      <c r="B9" t="s">
        <v>283</v>
      </c>
      <c r="C9" s="61">
        <v>28310.702039909433</v>
      </c>
      <c r="D9">
        <v>0.36645427566415212</v>
      </c>
    </row>
    <row r="10" spans="1:4">
      <c r="B10" t="s">
        <v>284</v>
      </c>
      <c r="C10" s="61">
        <v>2480.0537801034652</v>
      </c>
      <c r="D10">
        <v>3.2101864175419971E-2</v>
      </c>
    </row>
    <row r="11" spans="1:4">
      <c r="B11" t="s">
        <v>13</v>
      </c>
      <c r="C11" s="61">
        <v>6287</v>
      </c>
      <c r="D11">
        <v>8.1379049797236841E-2</v>
      </c>
    </row>
    <row r="12" spans="1:4">
      <c r="B12" t="s">
        <v>24</v>
      </c>
      <c r="C12" s="61">
        <v>2280</v>
      </c>
      <c r="D12">
        <v>2.9512364170144745E-2</v>
      </c>
    </row>
    <row r="13" spans="1:4">
      <c r="B13" t="s">
        <v>21</v>
      </c>
      <c r="C13" s="61">
        <v>301</v>
      </c>
      <c r="D13">
        <v>3.8961498312340211E-3</v>
      </c>
    </row>
    <row r="14" spans="1:4">
      <c r="A14" t="s">
        <v>5</v>
      </c>
      <c r="B14" t="s">
        <v>33</v>
      </c>
      <c r="C14" s="61">
        <v>1457</v>
      </c>
      <c r="D14">
        <v>1.8859436226272321E-2</v>
      </c>
    </row>
    <row r="15" spans="1:4">
      <c r="A15" t="s">
        <v>15</v>
      </c>
      <c r="B15" t="s">
        <v>14</v>
      </c>
      <c r="C15" s="61">
        <v>26</v>
      </c>
      <c r="D15">
        <v>3.3654450369463308E-4</v>
      </c>
    </row>
    <row r="16" spans="1:4">
      <c r="A16" t="s">
        <v>285</v>
      </c>
      <c r="B16" t="s">
        <v>285</v>
      </c>
      <c r="C16" s="61">
        <v>4212</v>
      </c>
      <c r="D16">
        <v>5.4520209598530552E-2</v>
      </c>
    </row>
    <row r="17" spans="1:9">
      <c r="A17" t="s">
        <v>25</v>
      </c>
      <c r="B17" t="s">
        <v>31</v>
      </c>
      <c r="C17" s="61">
        <v>72</v>
      </c>
      <c r="D17">
        <v>9.3196939484667613E-4</v>
      </c>
      <c r="G17">
        <v>77256</v>
      </c>
      <c r="H17">
        <v>62533</v>
      </c>
      <c r="I17">
        <f>(H17-G17)/G17</f>
        <v>-0.19057419488453972</v>
      </c>
    </row>
    <row r="18" spans="1:9">
      <c r="A18" t="s">
        <v>23</v>
      </c>
      <c r="B18" t="s">
        <v>35</v>
      </c>
      <c r="C18" s="61">
        <v>82</v>
      </c>
      <c r="D18">
        <v>1.0614095885753811E-3</v>
      </c>
    </row>
    <row r="19" spans="1:9">
      <c r="A19" t="s">
        <v>6</v>
      </c>
      <c r="C19" s="61">
        <v>77255.755820012899</v>
      </c>
      <c r="D19">
        <v>0.99999999999999978</v>
      </c>
    </row>
    <row r="20" spans="1:9">
      <c r="C20" s="61"/>
    </row>
    <row r="21" spans="1:9">
      <c r="B21" t="s">
        <v>2</v>
      </c>
      <c r="C21" s="61">
        <f>SUM(C3:C4)</f>
        <v>5711</v>
      </c>
    </row>
    <row r="22" spans="1:9">
      <c r="B22" t="s">
        <v>3</v>
      </c>
      <c r="C22" s="61">
        <f>SUM(C5:C8)</f>
        <v>26037</v>
      </c>
    </row>
    <row r="23" spans="1:9">
      <c r="B23" t="s">
        <v>51</v>
      </c>
      <c r="C23" s="61">
        <f>SUM(C9:C10)</f>
        <v>30790.755820012899</v>
      </c>
    </row>
    <row r="24" spans="1:9">
      <c r="B24" t="s">
        <v>69</v>
      </c>
      <c r="C24" s="61">
        <f>SUM(C11)</f>
        <v>6287</v>
      </c>
    </row>
    <row r="25" spans="1:9">
      <c r="B25" t="s">
        <v>246</v>
      </c>
      <c r="C25" s="61">
        <f>SUM(C12:C13)</f>
        <v>2581</v>
      </c>
    </row>
    <row r="26" spans="1:9">
      <c r="B26" t="s">
        <v>290</v>
      </c>
      <c r="C26" s="61">
        <f>SUM(C14:C15)</f>
        <v>1483</v>
      </c>
    </row>
    <row r="27" spans="1:9">
      <c r="B27" t="s">
        <v>291</v>
      </c>
      <c r="C27" s="61">
        <f>C16</f>
        <v>4212</v>
      </c>
    </row>
    <row r="28" spans="1:9">
      <c r="B28" t="s">
        <v>294</v>
      </c>
      <c r="C28" s="61">
        <f>SUM(C17:C18)</f>
        <v>154</v>
      </c>
    </row>
    <row r="29" spans="1:9">
      <c r="C29" s="61"/>
    </row>
    <row r="30" spans="1:9" s="58" customFormat="1">
      <c r="B30" s="58" t="s">
        <v>238</v>
      </c>
      <c r="C30" s="61" t="s">
        <v>292</v>
      </c>
    </row>
    <row r="31" spans="1:9">
      <c r="B31" t="s">
        <v>2</v>
      </c>
      <c r="C31">
        <v>5711</v>
      </c>
    </row>
    <row r="32" spans="1:9">
      <c r="B32" t="s">
        <v>293</v>
      </c>
      <c r="C32">
        <v>26037</v>
      </c>
    </row>
    <row r="33" spans="2:3">
      <c r="B33" t="s">
        <v>51</v>
      </c>
      <c r="C33">
        <v>30790.755820012899</v>
      </c>
    </row>
    <row r="34" spans="2:3">
      <c r="B34" t="s">
        <v>69</v>
      </c>
      <c r="C34">
        <v>6287</v>
      </c>
    </row>
    <row r="35" spans="2:3">
      <c r="B35" t="s">
        <v>246</v>
      </c>
      <c r="C35">
        <v>2581</v>
      </c>
    </row>
    <row r="36" spans="2:3">
      <c r="B36" t="s">
        <v>290</v>
      </c>
      <c r="C36">
        <v>1483</v>
      </c>
    </row>
    <row r="37" spans="2:3">
      <c r="B37" t="s">
        <v>291</v>
      </c>
      <c r="C37">
        <v>4212</v>
      </c>
    </row>
    <row r="38" spans="2:3">
      <c r="B38" t="s">
        <v>294</v>
      </c>
      <c r="C38">
        <v>154</v>
      </c>
    </row>
    <row r="50" spans="1:4" ht="20">
      <c r="A50" s="150" t="s">
        <v>295</v>
      </c>
    </row>
    <row r="51" spans="1:4">
      <c r="A51" t="s">
        <v>2</v>
      </c>
      <c r="B51" t="s">
        <v>10</v>
      </c>
      <c r="C51">
        <v>1574.1902771989107</v>
      </c>
      <c r="D51">
        <v>2.5173866775087657E-2</v>
      </c>
    </row>
    <row r="52" spans="1:4">
      <c r="B52" t="s">
        <v>11</v>
      </c>
      <c r="C52">
        <v>3298.4733212000001</v>
      </c>
      <c r="D52">
        <v>5.2747961381658041E-2</v>
      </c>
    </row>
    <row r="53" spans="1:4">
      <c r="A53" t="s">
        <v>3</v>
      </c>
      <c r="B53" t="s">
        <v>10</v>
      </c>
      <c r="C53">
        <v>9582.6390727630205</v>
      </c>
      <c r="D53">
        <v>0.15324200820292852</v>
      </c>
    </row>
    <row r="54" spans="1:4">
      <c r="B54" t="s">
        <v>11</v>
      </c>
      <c r="C54">
        <v>6379.8002321336189</v>
      </c>
      <c r="D54">
        <v>0.10202339794728098</v>
      </c>
    </row>
    <row r="55" spans="1:4">
      <c r="A55" t="s">
        <v>12</v>
      </c>
      <c r="B55" t="s">
        <v>10</v>
      </c>
      <c r="C55">
        <v>2872.8833714267435</v>
      </c>
      <c r="D55">
        <v>4.5942084829382501E-2</v>
      </c>
    </row>
    <row r="56" spans="1:4">
      <c r="A56" t="s">
        <v>19</v>
      </c>
      <c r="B56" t="s">
        <v>20</v>
      </c>
      <c r="C56">
        <v>32.206300000000006</v>
      </c>
      <c r="D56">
        <v>5.1503119874501708E-4</v>
      </c>
    </row>
    <row r="57" spans="1:4">
      <c r="A57" t="s">
        <v>4</v>
      </c>
      <c r="B57" t="s">
        <v>283</v>
      </c>
      <c r="C57">
        <v>21904.662026864637</v>
      </c>
      <c r="D57">
        <v>0.35029122692766779</v>
      </c>
    </row>
    <row r="58" spans="1:4">
      <c r="B58" t="s">
        <v>284</v>
      </c>
      <c r="C58">
        <v>2966.4132186686211</v>
      </c>
      <c r="D58">
        <v>4.7437779440170531E-2</v>
      </c>
    </row>
    <row r="59" spans="1:4">
      <c r="B59" t="s">
        <v>32</v>
      </c>
      <c r="C59">
        <v>5548.4017814377476</v>
      </c>
      <c r="D59">
        <v>8.8727982432408287E-2</v>
      </c>
    </row>
    <row r="60" spans="1:4">
      <c r="B60" t="s">
        <v>24</v>
      </c>
      <c r="C60">
        <v>2338.8751884022849</v>
      </c>
      <c r="D60">
        <v>3.7402424121920443E-2</v>
      </c>
    </row>
    <row r="61" spans="1:4">
      <c r="B61" t="s">
        <v>21</v>
      </c>
      <c r="C61">
        <v>300.5071981356345</v>
      </c>
      <c r="D61">
        <v>4.8055996027889627E-3</v>
      </c>
    </row>
    <row r="62" spans="1:4">
      <c r="A62" t="s">
        <v>5</v>
      </c>
      <c r="B62" t="s">
        <v>33</v>
      </c>
      <c r="C62">
        <v>869.63909917499996</v>
      </c>
      <c r="D62">
        <v>1.3906945775318398E-2</v>
      </c>
    </row>
    <row r="63" spans="1:4">
      <c r="A63" t="s">
        <v>15</v>
      </c>
      <c r="B63" t="s">
        <v>14</v>
      </c>
      <c r="C63">
        <v>1.6135875000000004</v>
      </c>
      <c r="D63">
        <v>2.5803892542917853E-5</v>
      </c>
    </row>
    <row r="64" spans="1:4">
      <c r="A64" t="s">
        <v>30</v>
      </c>
      <c r="B64" t="s">
        <v>34</v>
      </c>
      <c r="C64">
        <v>4681.1099999999997</v>
      </c>
      <c r="D64">
        <v>7.4858574091320212E-2</v>
      </c>
    </row>
    <row r="65" spans="1:6">
      <c r="A65" t="s">
        <v>25</v>
      </c>
      <c r="B65" t="s">
        <v>22</v>
      </c>
      <c r="C65">
        <v>125.60762868637717</v>
      </c>
      <c r="D65">
        <v>2.008670588483117E-3</v>
      </c>
    </row>
    <row r="66" spans="1:6">
      <c r="A66" t="s">
        <v>23</v>
      </c>
      <c r="B66" t="s">
        <v>35</v>
      </c>
      <c r="C66">
        <v>55.694313337589733</v>
      </c>
      <c r="D66">
        <v>8.9064279229652047E-4</v>
      </c>
    </row>
    <row r="67" spans="1:6">
      <c r="A67" t="s">
        <v>6</v>
      </c>
      <c r="C67">
        <v>62532.716616930193</v>
      </c>
      <c r="D67">
        <v>0.99999999999999989</v>
      </c>
    </row>
    <row r="70" spans="1:6">
      <c r="B70" t="s">
        <v>238</v>
      </c>
      <c r="C70" t="s">
        <v>292</v>
      </c>
    </row>
    <row r="71" spans="1:6">
      <c r="B71" t="s">
        <v>2</v>
      </c>
      <c r="C71">
        <f>SUM(C51:C52)</f>
        <v>4872.6635983989108</v>
      </c>
    </row>
    <row r="72" spans="1:6">
      <c r="B72" t="s">
        <v>293</v>
      </c>
      <c r="C72">
        <f>SUM(C53:C56)</f>
        <v>18867.528976323385</v>
      </c>
    </row>
    <row r="73" spans="1:6">
      <c r="B73" t="s">
        <v>51</v>
      </c>
      <c r="C73">
        <f>SUM(C57:C58)</f>
        <v>24871.075245533259</v>
      </c>
    </row>
    <row r="74" spans="1:6">
      <c r="B74" t="s">
        <v>69</v>
      </c>
      <c r="C74">
        <f>C59</f>
        <v>5548.4017814377476</v>
      </c>
    </row>
    <row r="75" spans="1:6">
      <c r="B75" t="s">
        <v>246</v>
      </c>
      <c r="C75">
        <f>SUM(C60:C61)</f>
        <v>2639.3823865379195</v>
      </c>
    </row>
    <row r="76" spans="1:6">
      <c r="B76" t="s">
        <v>290</v>
      </c>
      <c r="C76">
        <f>SUM(C62:C63)</f>
        <v>871.25268667499995</v>
      </c>
    </row>
    <row r="77" spans="1:6">
      <c r="B77" t="s">
        <v>291</v>
      </c>
      <c r="C77">
        <f>C64</f>
        <v>4681.1099999999997</v>
      </c>
    </row>
    <row r="78" spans="1:6">
      <c r="B78" t="s">
        <v>294</v>
      </c>
      <c r="C78">
        <f>SUM(C65:C66)</f>
        <v>181.30194202396689</v>
      </c>
    </row>
    <row r="79" spans="1:6">
      <c r="C79">
        <f>SUM(C71:C78)</f>
        <v>62532.716616930178</v>
      </c>
    </row>
    <row r="80" spans="1:6">
      <c r="B80" s="58" t="s">
        <v>238</v>
      </c>
      <c r="C80" s="58" t="s">
        <v>292</v>
      </c>
      <c r="E80" t="s">
        <v>297</v>
      </c>
      <c r="F80" t="s">
        <v>298</v>
      </c>
    </row>
    <row r="81" spans="2:8">
      <c r="B81" t="s">
        <v>2</v>
      </c>
      <c r="C81">
        <v>4872.6635983989108</v>
      </c>
      <c r="D81" t="s">
        <v>2</v>
      </c>
      <c r="E81" s="61">
        <v>5711</v>
      </c>
      <c r="F81" s="61">
        <v>4872.6635983989108</v>
      </c>
      <c r="G81" s="148">
        <f>(F81-E81)/E81</f>
        <v>-0.14679327641412873</v>
      </c>
      <c r="H81" s="61">
        <f>F81-E81</f>
        <v>-838.33640160108916</v>
      </c>
    </row>
    <row r="82" spans="2:8">
      <c r="B82" t="s">
        <v>293</v>
      </c>
      <c r="C82">
        <v>18867.528976323385</v>
      </c>
      <c r="D82" t="s">
        <v>293</v>
      </c>
      <c r="E82" s="61">
        <v>26037</v>
      </c>
      <c r="F82" s="61">
        <v>18867.528976323385</v>
      </c>
      <c r="G82" s="148">
        <f t="shared" ref="G82:G88" si="0">(F82-E82)/E82</f>
        <v>-0.27535703128918904</v>
      </c>
      <c r="H82" s="61">
        <f t="shared" ref="H82:H88" si="1">F82-E82</f>
        <v>-7169.471023676615</v>
      </c>
    </row>
    <row r="83" spans="2:8">
      <c r="B83" t="s">
        <v>51</v>
      </c>
      <c r="C83">
        <v>24871.075245533259</v>
      </c>
      <c r="D83" t="s">
        <v>51</v>
      </c>
      <c r="E83" s="61">
        <v>30790.755820012899</v>
      </c>
      <c r="F83" s="61">
        <v>24871.075245533259</v>
      </c>
      <c r="G83" s="148">
        <f t="shared" si="0"/>
        <v>-0.19225512387818872</v>
      </c>
      <c r="H83" s="61">
        <f t="shared" si="1"/>
        <v>-5919.6805744796402</v>
      </c>
    </row>
    <row r="84" spans="2:8">
      <c r="B84" t="s">
        <v>69</v>
      </c>
      <c r="C84">
        <v>5548.4017814377476</v>
      </c>
      <c r="D84" t="s">
        <v>69</v>
      </c>
      <c r="E84" s="61">
        <v>6287</v>
      </c>
      <c r="F84" s="61">
        <v>5548.4017814377476</v>
      </c>
      <c r="G84" s="148">
        <f t="shared" si="0"/>
        <v>-0.11748023199654087</v>
      </c>
      <c r="H84" s="61">
        <f t="shared" si="1"/>
        <v>-738.59821856225244</v>
      </c>
    </row>
    <row r="85" spans="2:8">
      <c r="B85" t="s">
        <v>246</v>
      </c>
      <c r="C85">
        <v>2639.3823865379195</v>
      </c>
      <c r="D85" t="s">
        <v>246</v>
      </c>
      <c r="E85" s="61">
        <v>2581</v>
      </c>
      <c r="F85" s="61">
        <v>2639.3823865379195</v>
      </c>
      <c r="G85" s="148">
        <f t="shared" si="0"/>
        <v>2.2620064524571677E-2</v>
      </c>
      <c r="H85" s="61">
        <f t="shared" si="1"/>
        <v>58.382386537919501</v>
      </c>
    </row>
    <row r="86" spans="2:8">
      <c r="B86" t="s">
        <v>290</v>
      </c>
      <c r="C86">
        <v>871.25268667499995</v>
      </c>
      <c r="D86" t="s">
        <v>290</v>
      </c>
      <c r="E86" s="61">
        <v>1483</v>
      </c>
      <c r="F86" s="61">
        <v>871.25268667499995</v>
      </c>
      <c r="G86" s="148">
        <f t="shared" si="0"/>
        <v>-0.41250661721173298</v>
      </c>
      <c r="H86" s="61">
        <f t="shared" si="1"/>
        <v>-611.74731332500005</v>
      </c>
    </row>
    <row r="87" spans="2:8">
      <c r="B87" t="s">
        <v>291</v>
      </c>
      <c r="C87">
        <v>4681.1099999999997</v>
      </c>
      <c r="D87" t="s">
        <v>291</v>
      </c>
      <c r="E87" s="61">
        <v>4212</v>
      </c>
      <c r="F87" s="61">
        <v>4681.1099999999997</v>
      </c>
      <c r="G87" s="148">
        <f t="shared" si="0"/>
        <v>0.1113746438746438</v>
      </c>
      <c r="H87" s="61">
        <f t="shared" si="1"/>
        <v>469.10999999999967</v>
      </c>
    </row>
    <row r="88" spans="2:8">
      <c r="B88" t="s">
        <v>294</v>
      </c>
      <c r="C88">
        <v>181.30194202396689</v>
      </c>
      <c r="D88" t="s">
        <v>294</v>
      </c>
      <c r="E88" s="61">
        <v>154</v>
      </c>
      <c r="F88" s="61">
        <v>181.30194202396689</v>
      </c>
      <c r="G88" s="148">
        <f t="shared" si="0"/>
        <v>0.17728533781796679</v>
      </c>
      <c r="H88" s="61">
        <f t="shared" si="1"/>
        <v>27.301942023966888</v>
      </c>
    </row>
    <row r="89" spans="2:8">
      <c r="E89" s="61">
        <f>SUM(E81:E88)</f>
        <v>77255.755820012899</v>
      </c>
      <c r="F89" s="61">
        <f>SUM(F81:F88)</f>
        <v>62532.716616930178</v>
      </c>
    </row>
    <row r="91" spans="2:8">
      <c r="E91">
        <v>2005</v>
      </c>
      <c r="F91">
        <v>2015</v>
      </c>
    </row>
    <row r="92" spans="2:8">
      <c r="D92" t="s">
        <v>51</v>
      </c>
      <c r="E92">
        <v>30790.755820012899</v>
      </c>
      <c r="F92">
        <v>24871.075245533259</v>
      </c>
    </row>
    <row r="93" spans="2:8">
      <c r="D93" t="s">
        <v>293</v>
      </c>
      <c r="E93">
        <v>26037</v>
      </c>
      <c r="F93">
        <v>18867.528976323385</v>
      </c>
    </row>
    <row r="94" spans="2:8">
      <c r="D94" t="s">
        <v>69</v>
      </c>
      <c r="E94">
        <v>6287</v>
      </c>
      <c r="F94">
        <v>5548.4017814377476</v>
      </c>
    </row>
    <row r="95" spans="2:8">
      <c r="D95" t="s">
        <v>2</v>
      </c>
      <c r="E95">
        <v>5711</v>
      </c>
      <c r="F95">
        <v>4872.6635983989108</v>
      </c>
    </row>
    <row r="96" spans="2:8">
      <c r="D96" t="s">
        <v>291</v>
      </c>
      <c r="E96">
        <v>4212</v>
      </c>
      <c r="F96">
        <v>4681.1099999999997</v>
      </c>
    </row>
    <row r="97" spans="4:6">
      <c r="D97" t="s">
        <v>246</v>
      </c>
      <c r="E97">
        <v>2581</v>
      </c>
      <c r="F97">
        <v>2639.3823865379195</v>
      </c>
    </row>
    <row r="98" spans="4:6">
      <c r="D98" t="s">
        <v>290</v>
      </c>
      <c r="E98">
        <v>1483</v>
      </c>
      <c r="F98">
        <v>871.25268667499995</v>
      </c>
    </row>
    <row r="99" spans="4:6">
      <c r="D99" t="s">
        <v>294</v>
      </c>
      <c r="E99">
        <v>154</v>
      </c>
      <c r="F99">
        <v>181.30194202396689</v>
      </c>
    </row>
  </sheetData>
  <autoFilter ref="D91:F91" xr:uid="{00000000-0009-0000-0000-00000B000000}">
    <sortState xmlns:xlrd2="http://schemas.microsoft.com/office/spreadsheetml/2017/richdata2" ref="D92:F99">
      <sortCondition descending="1" ref="F91"/>
    </sortState>
  </autoFilter>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H85"/>
  <sheetViews>
    <sheetView showGridLines="0" zoomScale="85" zoomScaleNormal="85" workbookViewId="0">
      <selection activeCell="C85" sqref="C85"/>
    </sheetView>
  </sheetViews>
  <sheetFormatPr defaultColWidth="9.08203125" defaultRowHeight="14"/>
  <cols>
    <col min="1" max="1" width="2.4140625" style="8" customWidth="1"/>
    <col min="2" max="2" width="31.83203125" style="8" customWidth="1"/>
    <col min="3" max="5" width="31.58203125" style="8" customWidth="1"/>
    <col min="6" max="6" width="15.1640625" style="8" customWidth="1"/>
    <col min="7" max="16384" width="9.08203125" style="8"/>
  </cols>
  <sheetData>
    <row r="1" spans="2:5" ht="10.5" customHeight="1" thickBot="1"/>
    <row r="2" spans="2:5" ht="48" customHeight="1" thickBot="1">
      <c r="B2" s="1101" t="s">
        <v>508</v>
      </c>
      <c r="C2" s="1102"/>
      <c r="D2" s="1102"/>
      <c r="E2" s="1103"/>
    </row>
    <row r="3" spans="2:5" ht="14.5" thickBot="1">
      <c r="B3" s="43"/>
      <c r="C3" s="43"/>
      <c r="D3" s="43"/>
      <c r="E3" s="43"/>
    </row>
    <row r="4" spans="2:5" ht="18.5" thickBot="1">
      <c r="B4" s="1094" t="s">
        <v>446</v>
      </c>
      <c r="C4" s="1095"/>
      <c r="D4" s="43"/>
      <c r="E4" s="43"/>
    </row>
    <row r="5" spans="2:5">
      <c r="B5" s="405" t="s">
        <v>429</v>
      </c>
      <c r="C5" s="406">
        <v>2017</v>
      </c>
      <c r="D5" s="43"/>
      <c r="E5" s="43"/>
    </row>
    <row r="6" spans="2:5">
      <c r="B6" s="405" t="s">
        <v>430</v>
      </c>
      <c r="C6" s="407">
        <v>2020</v>
      </c>
      <c r="D6" s="43"/>
      <c r="E6" s="43"/>
    </row>
    <row r="7" spans="2:5">
      <c r="B7" s="405" t="s">
        <v>433</v>
      </c>
      <c r="C7" s="407">
        <v>2030</v>
      </c>
      <c r="D7" s="43"/>
      <c r="E7" s="43"/>
    </row>
    <row r="8" spans="2:5">
      <c r="B8" s="542" t="s">
        <v>638</v>
      </c>
      <c r="C8" s="407">
        <v>2040</v>
      </c>
      <c r="D8" s="43"/>
      <c r="E8" s="43"/>
    </row>
    <row r="9" spans="2:5">
      <c r="B9" s="542" t="s">
        <v>516</v>
      </c>
      <c r="C9" s="407">
        <v>2045</v>
      </c>
      <c r="D9" s="43"/>
      <c r="E9" s="43"/>
    </row>
    <row r="10" spans="2:5">
      <c r="B10" s="542" t="s">
        <v>639</v>
      </c>
      <c r="C10" s="407">
        <v>2050</v>
      </c>
      <c r="D10" s="43"/>
      <c r="E10" s="43"/>
    </row>
    <row r="11" spans="2:5">
      <c r="B11" s="542" t="s">
        <v>431</v>
      </c>
      <c r="C11" s="407">
        <f>C6-C5</f>
        <v>3</v>
      </c>
      <c r="D11" s="43"/>
      <c r="E11" s="43"/>
    </row>
    <row r="12" spans="2:5">
      <c r="B12" s="405" t="s">
        <v>432</v>
      </c>
      <c r="C12" s="720">
        <f>C7-C5</f>
        <v>13</v>
      </c>
      <c r="D12" s="43"/>
      <c r="E12" s="43"/>
    </row>
    <row r="13" spans="2:5">
      <c r="B13" s="405" t="s">
        <v>641</v>
      </c>
      <c r="C13" s="407">
        <f>C8-C5</f>
        <v>23</v>
      </c>
      <c r="D13" s="43"/>
      <c r="E13" s="43"/>
    </row>
    <row r="14" spans="2:5">
      <c r="B14" s="405" t="s">
        <v>515</v>
      </c>
      <c r="C14" s="407">
        <f>C9-C5</f>
        <v>28</v>
      </c>
      <c r="D14" s="43"/>
      <c r="E14" s="43"/>
    </row>
    <row r="15" spans="2:5" ht="14.5" thickBot="1">
      <c r="B15" s="721" t="s">
        <v>640</v>
      </c>
      <c r="C15" s="722">
        <f>C10-C5</f>
        <v>33</v>
      </c>
      <c r="D15" s="43"/>
      <c r="E15" s="43"/>
    </row>
    <row r="16" spans="2:5" ht="14.5" thickBot="1">
      <c r="B16" s="43"/>
      <c r="C16" s="43"/>
      <c r="D16" s="43"/>
      <c r="E16" s="43"/>
    </row>
    <row r="17" spans="2:7" ht="18.5" thickBot="1">
      <c r="B17" s="1087" t="s">
        <v>447</v>
      </c>
      <c r="C17" s="1088"/>
      <c r="D17" s="1088"/>
      <c r="E17" s="1089"/>
    </row>
    <row r="18" spans="2:7" s="44" customFormat="1" ht="17.5" thickBot="1">
      <c r="B18" s="48" t="s">
        <v>1</v>
      </c>
      <c r="C18" s="49" t="s">
        <v>8</v>
      </c>
      <c r="D18" s="49" t="s">
        <v>100</v>
      </c>
      <c r="E18" s="50" t="s">
        <v>40</v>
      </c>
    </row>
    <row r="19" spans="2:7" ht="15" customHeight="1">
      <c r="B19" s="1090" t="s">
        <v>2</v>
      </c>
      <c r="C19" s="79" t="s">
        <v>10</v>
      </c>
      <c r="D19" s="373">
        <v>33644</v>
      </c>
      <c r="E19" s="368">
        <f t="shared" ref="E19:E24" si="0">D19/$D$33</f>
        <v>5.2555528999736006E-2</v>
      </c>
    </row>
    <row r="20" spans="2:7">
      <c r="B20" s="1091"/>
      <c r="C20" s="81" t="s">
        <v>11</v>
      </c>
      <c r="D20" s="374">
        <v>65500</v>
      </c>
      <c r="E20" s="369">
        <f t="shared" si="0"/>
        <v>0.10231801062545204</v>
      </c>
      <c r="G20" s="20"/>
    </row>
    <row r="21" spans="2:7" ht="15" customHeight="1">
      <c r="B21" s="1092" t="s">
        <v>3</v>
      </c>
      <c r="C21" s="83" t="s">
        <v>10</v>
      </c>
      <c r="D21" s="355">
        <v>96446</v>
      </c>
      <c r="E21" s="356">
        <f t="shared" si="0"/>
        <v>0.15065897485163887</v>
      </c>
      <c r="F21" s="20"/>
    </row>
    <row r="22" spans="2:7">
      <c r="B22" s="1093"/>
      <c r="C22" s="82" t="s">
        <v>11</v>
      </c>
      <c r="D22" s="357">
        <v>53364</v>
      </c>
      <c r="E22" s="358">
        <f t="shared" si="0"/>
        <v>8.3360279679643087E-2</v>
      </c>
    </row>
    <row r="23" spans="2:7">
      <c r="B23" s="200" t="s">
        <v>12</v>
      </c>
      <c r="C23" s="143" t="s">
        <v>10</v>
      </c>
      <c r="D23" s="359">
        <v>39356</v>
      </c>
      <c r="E23" s="363">
        <f t="shared" si="0"/>
        <v>6.14782843690884E-2</v>
      </c>
      <c r="F23" s="20"/>
    </row>
    <row r="24" spans="2:7" ht="15.75" customHeight="1">
      <c r="B24" s="1104" t="s">
        <v>4</v>
      </c>
      <c r="C24" s="142" t="s">
        <v>305</v>
      </c>
      <c r="D24" s="1107">
        <v>114370</v>
      </c>
      <c r="E24" s="1111">
        <f t="shared" si="0"/>
        <v>0.1786581813012664</v>
      </c>
      <c r="F24" s="20"/>
    </row>
    <row r="25" spans="2:7" ht="15.75" customHeight="1">
      <c r="B25" s="1104"/>
      <c r="C25" s="142" t="s">
        <v>306</v>
      </c>
      <c r="D25" s="1108"/>
      <c r="E25" s="1112"/>
      <c r="F25" s="20"/>
    </row>
    <row r="26" spans="2:7" ht="15.75" customHeight="1">
      <c r="B26" s="1104"/>
      <c r="C26" s="142" t="s">
        <v>307</v>
      </c>
      <c r="D26" s="1109">
        <v>175367</v>
      </c>
      <c r="E26" s="1113">
        <f>D26/$D$33</f>
        <v>0.27394202395959766</v>
      </c>
      <c r="F26" s="20"/>
    </row>
    <row r="27" spans="2:7" ht="15.75" customHeight="1">
      <c r="B27" s="1104"/>
      <c r="C27" s="142" t="s">
        <v>308</v>
      </c>
      <c r="D27" s="1110"/>
      <c r="E27" s="1112"/>
      <c r="F27" s="20"/>
    </row>
    <row r="28" spans="2:7">
      <c r="B28" s="1105"/>
      <c r="C28" s="80" t="s">
        <v>13</v>
      </c>
      <c r="D28" s="361">
        <v>39758</v>
      </c>
      <c r="E28" s="362">
        <f>D28/$D$33</f>
        <v>6.2106251396133162E-2</v>
      </c>
      <c r="F28" s="20"/>
    </row>
    <row r="29" spans="2:7">
      <c r="B29" s="1106"/>
      <c r="C29" s="53" t="s">
        <v>311</v>
      </c>
      <c r="D29" s="360">
        <v>0</v>
      </c>
      <c r="E29" s="362">
        <f>D29/$D$33</f>
        <v>0</v>
      </c>
      <c r="F29" s="20"/>
    </row>
    <row r="30" spans="2:7">
      <c r="B30" s="200" t="s">
        <v>5</v>
      </c>
      <c r="C30" s="143" t="s">
        <v>33</v>
      </c>
      <c r="D30" s="359">
        <v>20630</v>
      </c>
      <c r="E30" s="363">
        <f>D30/$D$33</f>
        <v>3.2226268079436265E-2</v>
      </c>
    </row>
    <row r="31" spans="2:7">
      <c r="B31" s="199" t="s">
        <v>15</v>
      </c>
      <c r="C31" s="53" t="s">
        <v>14</v>
      </c>
      <c r="D31" s="360">
        <v>203</v>
      </c>
      <c r="E31" s="372">
        <f>D31/$D$33</f>
        <v>3.1710772758727885E-4</v>
      </c>
    </row>
    <row r="32" spans="2:7">
      <c r="B32" s="159" t="s">
        <v>25</v>
      </c>
      <c r="C32" s="143" t="s">
        <v>31</v>
      </c>
      <c r="D32" s="359">
        <v>1523</v>
      </c>
      <c r="E32" s="178">
        <f>D32/$D$33</f>
        <v>2.3790890104208161E-3</v>
      </c>
    </row>
    <row r="33" spans="2:7" ht="16" thickBot="1">
      <c r="B33" s="45" t="s">
        <v>6</v>
      </c>
      <c r="C33" s="46"/>
      <c r="D33" s="47">
        <f>SUM(D19:D32)</f>
        <v>640161</v>
      </c>
      <c r="E33" s="156">
        <f>SUM(E19:E32)</f>
        <v>1</v>
      </c>
      <c r="G33" s="160"/>
    </row>
    <row r="34" spans="2:7" ht="14.5" thickBot="1"/>
    <row r="35" spans="2:7" ht="18.5" thickBot="1">
      <c r="B35" s="1087" t="s">
        <v>448</v>
      </c>
      <c r="C35" s="1088"/>
      <c r="D35" s="1088"/>
      <c r="E35" s="1089"/>
    </row>
    <row r="36" spans="2:7" ht="17.5" thickBot="1">
      <c r="B36" s="48" t="s">
        <v>1</v>
      </c>
      <c r="C36" s="49" t="s">
        <v>8</v>
      </c>
      <c r="D36" s="49" t="s">
        <v>100</v>
      </c>
      <c r="E36" s="50" t="s">
        <v>40</v>
      </c>
    </row>
    <row r="37" spans="2:7">
      <c r="B37" s="1090" t="s">
        <v>2</v>
      </c>
      <c r="C37" s="79" t="s">
        <v>10</v>
      </c>
      <c r="D37" s="373">
        <v>31762.842229103575</v>
      </c>
      <c r="E37" s="368">
        <f t="shared" ref="E37:E47" si="1">D37/$D$54</f>
        <v>5.1451978411773354E-2</v>
      </c>
      <c r="F37" s="20"/>
    </row>
    <row r="38" spans="2:7">
      <c r="B38" s="1091"/>
      <c r="C38" s="81" t="s">
        <v>11</v>
      </c>
      <c r="D38" s="374">
        <v>66451.718918400002</v>
      </c>
      <c r="E38" s="369">
        <f t="shared" si="1"/>
        <v>0.10764378019300581</v>
      </c>
      <c r="F38" s="20"/>
    </row>
    <row r="39" spans="2:7">
      <c r="B39" s="1092" t="s">
        <v>3</v>
      </c>
      <c r="C39" s="83" t="s">
        <v>10</v>
      </c>
      <c r="D39" s="355">
        <v>94824.887387661802</v>
      </c>
      <c r="E39" s="356">
        <f t="shared" si="1"/>
        <v>0.15360489541765135</v>
      </c>
      <c r="F39" s="20"/>
    </row>
    <row r="40" spans="2:7">
      <c r="B40" s="1093"/>
      <c r="C40" s="82" t="s">
        <v>11</v>
      </c>
      <c r="D40" s="357">
        <v>60407.154761600003</v>
      </c>
      <c r="E40" s="358">
        <f t="shared" si="1"/>
        <v>9.7852314358147813E-2</v>
      </c>
      <c r="F40" s="20"/>
    </row>
    <row r="41" spans="2:7">
      <c r="B41" s="199" t="s">
        <v>12</v>
      </c>
      <c r="C41" s="53" t="s">
        <v>10</v>
      </c>
      <c r="D41" s="360">
        <v>20908.748596586847</v>
      </c>
      <c r="E41" s="371">
        <f t="shared" si="1"/>
        <v>3.386965415906814E-2</v>
      </c>
    </row>
    <row r="42" spans="2:7">
      <c r="B42" s="200" t="s">
        <v>19</v>
      </c>
      <c r="C42" s="143" t="s">
        <v>20</v>
      </c>
      <c r="D42" s="359">
        <v>26781.301000000003</v>
      </c>
      <c r="E42" s="363">
        <f t="shared" si="1"/>
        <v>4.3382481673148857E-2</v>
      </c>
    </row>
    <row r="43" spans="2:7">
      <c r="B43" s="1092" t="s">
        <v>4</v>
      </c>
      <c r="C43" s="83" t="s">
        <v>305</v>
      </c>
      <c r="D43" s="355">
        <v>98138.597863638526</v>
      </c>
      <c r="E43" s="356">
        <f t="shared" si="1"/>
        <v>0.15897270723509002</v>
      </c>
    </row>
    <row r="44" spans="2:7">
      <c r="B44" s="1096"/>
      <c r="C44" s="80" t="s">
        <v>306</v>
      </c>
      <c r="D44" s="361">
        <v>8597.0669417758163</v>
      </c>
      <c r="E44" s="362">
        <f t="shared" si="1"/>
        <v>1.3926212884296517E-2</v>
      </c>
    </row>
    <row r="45" spans="2:7">
      <c r="B45" s="1096"/>
      <c r="C45" s="80" t="s">
        <v>307</v>
      </c>
      <c r="D45" s="361">
        <v>138855.24381063695</v>
      </c>
      <c r="E45" s="362">
        <f t="shared" si="1"/>
        <v>0.22492876913767457</v>
      </c>
    </row>
    <row r="46" spans="2:7">
      <c r="B46" s="1096"/>
      <c r="C46" s="80" t="s">
        <v>308</v>
      </c>
      <c r="D46" s="361">
        <v>12163.897306901967</v>
      </c>
      <c r="E46" s="362">
        <f t="shared" si="1"/>
        <v>1.9704048432551476E-2</v>
      </c>
    </row>
    <row r="47" spans="2:7">
      <c r="B47" s="1097"/>
      <c r="C47" s="80" t="s">
        <v>13</v>
      </c>
      <c r="D47" s="361">
        <v>40979.673234717411</v>
      </c>
      <c r="E47" s="362">
        <f t="shared" si="1"/>
        <v>6.6382134425685912E-2</v>
      </c>
    </row>
    <row r="48" spans="2:7">
      <c r="B48" s="1097"/>
      <c r="C48" s="80" t="s">
        <v>311</v>
      </c>
      <c r="D48" s="361">
        <v>1476.1263601636883</v>
      </c>
      <c r="E48" s="362">
        <f t="shared" ref="E48:E49" si="2">D48/$D$54</f>
        <v>2.3911468963756888E-3</v>
      </c>
    </row>
    <row r="49" spans="2:8">
      <c r="B49" s="1098"/>
      <c r="C49" s="82" t="s">
        <v>21</v>
      </c>
      <c r="D49" s="374">
        <v>194.59238619232511</v>
      </c>
      <c r="E49" s="369">
        <f t="shared" si="2"/>
        <v>3.1521622596761999E-4</v>
      </c>
    </row>
    <row r="50" spans="2:8">
      <c r="B50" s="199" t="s">
        <v>5</v>
      </c>
      <c r="C50" s="53" t="s">
        <v>33</v>
      </c>
      <c r="D50" s="359">
        <v>11547.508253085001</v>
      </c>
      <c r="E50" s="363">
        <f>D50/$D$54</f>
        <v>1.870557241263205E-2</v>
      </c>
    </row>
    <row r="51" spans="2:8">
      <c r="B51" s="157" t="s">
        <v>15</v>
      </c>
      <c r="C51" s="155" t="s">
        <v>14</v>
      </c>
      <c r="D51" s="375">
        <v>787.11412500000017</v>
      </c>
      <c r="E51" s="356">
        <f>D51/$D$54</f>
        <v>1.2750300705140912E-3</v>
      </c>
    </row>
    <row r="52" spans="2:8">
      <c r="B52" s="199" t="s">
        <v>25</v>
      </c>
      <c r="C52" s="53" t="s">
        <v>31</v>
      </c>
      <c r="D52" s="360">
        <v>1884.3563430097743</v>
      </c>
      <c r="E52" s="371">
        <f>D52/$D$54</f>
        <v>3.0524302951639025E-3</v>
      </c>
    </row>
    <row r="53" spans="2:8" ht="14.5" thickBot="1">
      <c r="B53" s="144" t="s">
        <v>23</v>
      </c>
      <c r="C53" s="145" t="s">
        <v>35</v>
      </c>
      <c r="D53" s="364">
        <v>1569.0226964129158</v>
      </c>
      <c r="E53" s="365">
        <f>D53/$D$54</f>
        <v>2.5416277712530812E-3</v>
      </c>
    </row>
    <row r="54" spans="2:8" ht="16" thickBot="1">
      <c r="B54" s="45" t="s">
        <v>6</v>
      </c>
      <c r="C54" s="46"/>
      <c r="D54" s="47">
        <f>SUM(D37:D53)</f>
        <v>617329.85221488646</v>
      </c>
      <c r="E54" s="156">
        <f>SUM(E37:E53)</f>
        <v>1.0000000000000002</v>
      </c>
    </row>
    <row r="55" spans="2:8" ht="14.5" thickBot="1"/>
    <row r="56" spans="2:8" ht="18.5" thickBot="1">
      <c r="B56" s="1087" t="s">
        <v>484</v>
      </c>
      <c r="C56" s="1088"/>
      <c r="D56" s="1088"/>
      <c r="E56" s="1089"/>
    </row>
    <row r="57" spans="2:8" ht="17">
      <c r="B57" s="48" t="s">
        <v>1</v>
      </c>
      <c r="C57" s="49" t="s">
        <v>8</v>
      </c>
      <c r="D57" s="49" t="s">
        <v>100</v>
      </c>
      <c r="E57" s="50" t="s">
        <v>40</v>
      </c>
    </row>
    <row r="58" spans="2:8">
      <c r="B58" s="1092" t="s">
        <v>2</v>
      </c>
      <c r="C58" s="83" t="s">
        <v>10</v>
      </c>
      <c r="D58" s="355">
        <v>26971.667316189003</v>
      </c>
      <c r="E58" s="356">
        <f>D58/$D$75</f>
        <v>4.562376340237756E-2</v>
      </c>
      <c r="F58" s="20"/>
      <c r="H58" s="20"/>
    </row>
    <row r="59" spans="2:8">
      <c r="B59" s="1093"/>
      <c r="C59" s="82" t="s">
        <v>11</v>
      </c>
      <c r="D59" s="357">
        <v>53722.228343200004</v>
      </c>
      <c r="E59" s="358">
        <f t="shared" ref="E59:E74" si="3">D59/$D$75</f>
        <v>9.0873515776590766E-2</v>
      </c>
      <c r="F59" s="20"/>
    </row>
    <row r="60" spans="2:8">
      <c r="B60" s="1092" t="s">
        <v>3</v>
      </c>
      <c r="C60" s="83" t="s">
        <v>10</v>
      </c>
      <c r="D60" s="355">
        <v>70616.073684963849</v>
      </c>
      <c r="E60" s="356">
        <f t="shared" si="3"/>
        <v>0.11945019936805579</v>
      </c>
      <c r="F60" s="20"/>
    </row>
    <row r="61" spans="2:8">
      <c r="B61" s="1093"/>
      <c r="C61" s="82" t="s">
        <v>11</v>
      </c>
      <c r="D61" s="357">
        <v>64105.4874968</v>
      </c>
      <c r="E61" s="358">
        <f t="shared" si="3"/>
        <v>0.10843725603098274</v>
      </c>
      <c r="F61" s="20"/>
    </row>
    <row r="62" spans="2:8">
      <c r="B62" s="200" t="s">
        <v>12</v>
      </c>
      <c r="C62" s="143" t="s">
        <v>10</v>
      </c>
      <c r="D62" s="359">
        <v>21170.75915147486</v>
      </c>
      <c r="E62" s="356">
        <f t="shared" si="3"/>
        <v>3.5811271704210133E-2</v>
      </c>
      <c r="F62" s="153"/>
    </row>
    <row r="63" spans="2:8">
      <c r="B63" s="199" t="s">
        <v>19</v>
      </c>
      <c r="C63" s="53" t="s">
        <v>20</v>
      </c>
      <c r="D63" s="360">
        <v>16572.880000000012</v>
      </c>
      <c r="E63" s="356">
        <f t="shared" si="3"/>
        <v>2.8033756576930524E-2</v>
      </c>
      <c r="F63" s="20"/>
    </row>
    <row r="64" spans="2:8">
      <c r="B64" s="1092" t="s">
        <v>4</v>
      </c>
      <c r="C64" s="83" t="s">
        <v>305</v>
      </c>
      <c r="D64" s="355">
        <v>89900.297815495302</v>
      </c>
      <c r="E64" s="356">
        <f t="shared" si="3"/>
        <v>0.1520703139800175</v>
      </c>
      <c r="F64" s="52"/>
    </row>
    <row r="65" spans="2:6">
      <c r="B65" s="1096"/>
      <c r="C65" s="80" t="s">
        <v>306</v>
      </c>
      <c r="D65" s="361">
        <v>12174.642616035966</v>
      </c>
      <c r="E65" s="362">
        <f t="shared" si="3"/>
        <v>2.0593944293875094E-2</v>
      </c>
      <c r="F65" s="153"/>
    </row>
    <row r="66" spans="2:6">
      <c r="B66" s="1096"/>
      <c r="C66" s="80" t="s">
        <v>307</v>
      </c>
      <c r="D66" s="361">
        <v>150162.83580161075</v>
      </c>
      <c r="E66" s="362">
        <f t="shared" si="3"/>
        <v>0.25400705162675052</v>
      </c>
      <c r="F66" s="20"/>
    </row>
    <row r="67" spans="2:6">
      <c r="B67" s="1096"/>
      <c r="C67" s="80" t="s">
        <v>308</v>
      </c>
      <c r="D67" s="361">
        <v>20335.626293998717</v>
      </c>
      <c r="E67" s="362">
        <f t="shared" si="3"/>
        <v>3.4398607687100097E-2</v>
      </c>
      <c r="F67" s="52"/>
    </row>
    <row r="68" spans="2:6">
      <c r="B68" s="1097"/>
      <c r="C68" s="80" t="s">
        <v>13</v>
      </c>
      <c r="D68" s="361">
        <v>50669.29486004221</v>
      </c>
      <c r="E68" s="362">
        <f t="shared" si="3"/>
        <v>8.5709344304136598E-2</v>
      </c>
      <c r="F68" s="20"/>
    </row>
    <row r="69" spans="2:6">
      <c r="B69" s="1097"/>
      <c r="C69" s="80" t="s">
        <v>311</v>
      </c>
      <c r="D69" s="361">
        <v>1514.5219219985538</v>
      </c>
      <c r="E69" s="362">
        <f t="shared" si="3"/>
        <v>2.561880547722085E-3</v>
      </c>
      <c r="F69" s="20"/>
    </row>
    <row r="70" spans="2:6">
      <c r="B70" s="1098"/>
      <c r="C70" s="82" t="s">
        <v>21</v>
      </c>
      <c r="D70" s="357">
        <v>194.59128967274347</v>
      </c>
      <c r="E70" s="358">
        <f t="shared" si="3"/>
        <v>3.2915973848097986E-4</v>
      </c>
      <c r="F70" s="20"/>
    </row>
    <row r="71" spans="2:6">
      <c r="B71" s="200" t="s">
        <v>5</v>
      </c>
      <c r="C71" s="143" t="s">
        <v>33</v>
      </c>
      <c r="D71" s="359">
        <v>9994.9251468150014</v>
      </c>
      <c r="E71" s="363">
        <f t="shared" si="3"/>
        <v>1.690685617529682E-2</v>
      </c>
      <c r="F71" s="20"/>
    </row>
    <row r="72" spans="2:6">
      <c r="B72" s="198" t="s">
        <v>15</v>
      </c>
      <c r="C72" s="83" t="s">
        <v>14</v>
      </c>
      <c r="D72" s="355">
        <v>283.71026250000006</v>
      </c>
      <c r="E72" s="356">
        <f t="shared" si="3"/>
        <v>4.7990840682500909E-4</v>
      </c>
      <c r="F72" s="20"/>
    </row>
    <row r="73" spans="2:6">
      <c r="B73" s="162" t="s">
        <v>25</v>
      </c>
      <c r="C73" s="82" t="s">
        <v>31</v>
      </c>
      <c r="D73" s="357">
        <v>1891.97949094111</v>
      </c>
      <c r="E73" s="358">
        <f t="shared" si="3"/>
        <v>3.2003666530855211E-3</v>
      </c>
      <c r="F73" s="161"/>
    </row>
    <row r="74" spans="2:6" ht="14.5" thickBot="1">
      <c r="B74" s="144" t="s">
        <v>23</v>
      </c>
      <c r="C74" s="145" t="s">
        <v>35</v>
      </c>
      <c r="D74" s="364">
        <v>894.33303637502513</v>
      </c>
      <c r="E74" s="365">
        <f t="shared" si="3"/>
        <v>1.5128037275624145E-3</v>
      </c>
      <c r="F74" s="20"/>
    </row>
    <row r="75" spans="2:6" ht="16" thickBot="1">
      <c r="B75" s="366" t="s">
        <v>6</v>
      </c>
      <c r="C75" s="367"/>
      <c r="D75" s="47">
        <f>SUM(D58:D74)</f>
        <v>591175.85452811304</v>
      </c>
      <c r="E75" s="78">
        <f>SUM(E58:E74)</f>
        <v>1.0000000000000002</v>
      </c>
    </row>
    <row r="76" spans="2:6" ht="14.5" thickBot="1">
      <c r="B76" s="1099" t="s">
        <v>506</v>
      </c>
      <c r="C76" s="1100"/>
      <c r="D76" s="1100"/>
      <c r="E76" s="354">
        <v>610873868.24579096</v>
      </c>
    </row>
    <row r="77" spans="2:6" ht="14.5" thickBot="1">
      <c r="B77" s="1099" t="s">
        <v>457</v>
      </c>
      <c r="C77" s="1100"/>
      <c r="D77" s="1100"/>
      <c r="E77" s="354">
        <v>10289.772404415</v>
      </c>
    </row>
    <row r="78" spans="2:6" ht="14.5" thickBot="1"/>
    <row r="79" spans="2:6" ht="18.5" thickBot="1">
      <c r="B79" s="1094" t="s">
        <v>507</v>
      </c>
      <c r="C79" s="1095"/>
    </row>
    <row r="80" spans="2:6" ht="28">
      <c r="B80" s="516" t="s">
        <v>42</v>
      </c>
      <c r="C80" s="517">
        <v>651403.96128689277</v>
      </c>
    </row>
    <row r="81" spans="2:3" ht="28">
      <c r="B81" s="518" t="s">
        <v>43</v>
      </c>
      <c r="C81" s="519">
        <v>633575.88822386845</v>
      </c>
    </row>
    <row r="82" spans="2:3" ht="28">
      <c r="B82" s="518" t="s">
        <v>123</v>
      </c>
      <c r="C82" s="519">
        <v>609917.00519148994</v>
      </c>
    </row>
    <row r="83" spans="2:3" ht="28">
      <c r="B83" s="518" t="s">
        <v>252</v>
      </c>
      <c r="C83" s="519">
        <v>592966.77306912187</v>
      </c>
    </row>
    <row r="84" spans="2:3" ht="28">
      <c r="B84" s="518" t="s">
        <v>482</v>
      </c>
      <c r="C84" s="519">
        <v>590000</v>
      </c>
    </row>
    <row r="85" spans="2:3" ht="28.5" thickBot="1">
      <c r="B85" s="520" t="s">
        <v>483</v>
      </c>
      <c r="C85" s="521">
        <v>588000</v>
      </c>
    </row>
  </sheetData>
  <mergeCells count="21">
    <mergeCell ref="B2:E2"/>
    <mergeCell ref="B21:B22"/>
    <mergeCell ref="B19:B20"/>
    <mergeCell ref="B17:E17"/>
    <mergeCell ref="B24:B29"/>
    <mergeCell ref="D24:D25"/>
    <mergeCell ref="D26:D27"/>
    <mergeCell ref="E24:E25"/>
    <mergeCell ref="E26:E27"/>
    <mergeCell ref="B4:C4"/>
    <mergeCell ref="B35:E35"/>
    <mergeCell ref="B37:B38"/>
    <mergeCell ref="B39:B40"/>
    <mergeCell ref="B56:E56"/>
    <mergeCell ref="B79:C79"/>
    <mergeCell ref="B58:B59"/>
    <mergeCell ref="B60:B61"/>
    <mergeCell ref="B43:B49"/>
    <mergeCell ref="B64:B70"/>
    <mergeCell ref="B76:D76"/>
    <mergeCell ref="B77:D77"/>
  </mergeCells>
  <phoneticPr fontId="8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BJ239"/>
  <sheetViews>
    <sheetView showGridLines="0" topLeftCell="A157" zoomScale="84" zoomScaleNormal="84" workbookViewId="0">
      <selection activeCell="J40" sqref="J40"/>
    </sheetView>
  </sheetViews>
  <sheetFormatPr defaultColWidth="9.08203125" defaultRowHeight="15.5"/>
  <cols>
    <col min="1" max="1" width="2.1640625" style="4" customWidth="1"/>
    <col min="2" max="2" width="35.4140625" style="4" customWidth="1"/>
    <col min="3" max="3" width="34.9140625" style="4" customWidth="1"/>
    <col min="4" max="4" width="23.58203125" style="4" customWidth="1"/>
    <col min="5" max="7" width="18.58203125" style="4" customWidth="1"/>
    <col min="8" max="11" width="16.9140625" style="4" customWidth="1"/>
    <col min="12" max="12" width="17.83203125" style="4" customWidth="1"/>
    <col min="13" max="29" width="16.9140625" style="4" customWidth="1"/>
    <col min="30" max="30" width="11.6640625" style="4" customWidth="1"/>
    <col min="31" max="31" width="12.4140625" style="4" customWidth="1"/>
    <col min="32" max="32" width="21.58203125" style="4" customWidth="1"/>
    <col min="33" max="33" width="12.08203125" style="4" customWidth="1"/>
    <col min="34" max="34" width="23.58203125" style="4" customWidth="1"/>
    <col min="35" max="35" width="15.1640625" style="4" customWidth="1"/>
    <col min="36" max="36" width="12.9140625" style="4" customWidth="1"/>
    <col min="37" max="37" width="15.6640625" style="4" customWidth="1"/>
    <col min="38" max="38" width="18.83203125" style="4" customWidth="1"/>
    <col min="39" max="39" width="22.08203125" style="4" customWidth="1"/>
    <col min="40" max="40" width="19.9140625" style="4" customWidth="1"/>
    <col min="41" max="41" width="9.08203125" style="4"/>
    <col min="42" max="42" width="12.4140625" style="4" customWidth="1"/>
    <col min="43" max="43" width="15.83203125" style="4" customWidth="1"/>
    <col min="44" max="44" width="9.08203125" style="4" customWidth="1"/>
    <col min="45" max="45" width="12.4140625" style="4" customWidth="1"/>
    <col min="46" max="46" width="16.1640625" style="4" customWidth="1"/>
    <col min="47" max="49" width="9.08203125" style="4" customWidth="1"/>
    <col min="50" max="50" width="16.4140625" style="4" customWidth="1"/>
    <col min="51" max="51" width="15.9140625" style="4" customWidth="1"/>
    <col min="52" max="52" width="23.6640625" style="4" customWidth="1"/>
    <col min="53" max="53" width="20.6640625" style="4" customWidth="1"/>
    <col min="54" max="54" width="19.6640625" style="4" customWidth="1"/>
    <col min="55" max="55" width="22.1640625" style="4" customWidth="1"/>
    <col min="56" max="56" width="16.58203125" style="4" customWidth="1"/>
    <col min="57" max="57" width="22.6640625" style="4" customWidth="1"/>
    <col min="58" max="58" width="22.1640625" style="4" customWidth="1"/>
    <col min="59" max="59" width="25.58203125" style="4" customWidth="1"/>
    <col min="60" max="60" width="30.83203125" style="4" customWidth="1"/>
    <col min="61" max="61" width="23.6640625" style="4" customWidth="1"/>
    <col min="62" max="62" width="29.08203125" style="4" customWidth="1"/>
    <col min="63" max="16384" width="9.08203125" style="4"/>
  </cols>
  <sheetData>
    <row r="1" spans="2:8" ht="10.5" customHeight="1" thickBot="1"/>
    <row r="2" spans="2:8" ht="82.5" customHeight="1" thickBot="1">
      <c r="B2" s="1138" t="s">
        <v>454</v>
      </c>
      <c r="C2" s="1139"/>
      <c r="D2" s="1139"/>
      <c r="E2" s="1139"/>
      <c r="F2" s="1139"/>
      <c r="G2" s="1140"/>
      <c r="H2" s="1141"/>
    </row>
    <row r="3" spans="2:8" ht="16" thickBot="1">
      <c r="B3" s="7"/>
    </row>
    <row r="4" spans="2:8" ht="16" thickBot="1">
      <c r="B4" s="41" t="s">
        <v>94</v>
      </c>
      <c r="C4" s="376" t="s">
        <v>92</v>
      </c>
    </row>
    <row r="5" spans="2:8">
      <c r="B5" s="7"/>
    </row>
    <row r="6" spans="2:8">
      <c r="B6" s="7"/>
    </row>
    <row r="7" spans="2:8">
      <c r="B7" s="7"/>
    </row>
    <row r="8" spans="2:8">
      <c r="B8" s="7"/>
    </row>
    <row r="9" spans="2:8">
      <c r="B9" s="7"/>
    </row>
    <row r="10" spans="2:8">
      <c r="B10" s="7"/>
    </row>
    <row r="11" spans="2:8">
      <c r="B11" s="7"/>
    </row>
    <row r="12" spans="2:8">
      <c r="B12" s="7"/>
    </row>
    <row r="13" spans="2:8">
      <c r="B13" s="7"/>
    </row>
    <row r="14" spans="2:8">
      <c r="B14" s="7"/>
    </row>
    <row r="15" spans="2:8">
      <c r="B15" s="7"/>
    </row>
    <row r="16" spans="2:8">
      <c r="B16" s="7"/>
    </row>
    <row r="17" spans="2:9">
      <c r="B17" s="7"/>
    </row>
    <row r="18" spans="2:9">
      <c r="B18" s="7"/>
    </row>
    <row r="19" spans="2:9">
      <c r="B19" s="7"/>
    </row>
    <row r="20" spans="2:9">
      <c r="B20" s="7"/>
    </row>
    <row r="21" spans="2:9">
      <c r="B21" s="7"/>
    </row>
    <row r="22" spans="2:9">
      <c r="B22" s="7"/>
    </row>
    <row r="23" spans="2:9">
      <c r="B23" s="7"/>
    </row>
    <row r="24" spans="2:9">
      <c r="B24" s="7"/>
    </row>
    <row r="25" spans="2:9">
      <c r="B25" s="7"/>
    </row>
    <row r="26" spans="2:9">
      <c r="B26" s="7"/>
    </row>
    <row r="27" spans="2:9">
      <c r="B27" s="7"/>
    </row>
    <row r="28" spans="2:9">
      <c r="B28" s="7"/>
    </row>
    <row r="29" spans="2:9" ht="16" thickBot="1"/>
    <row r="30" spans="2:9" ht="19.5" customHeight="1" thickBot="1">
      <c r="B30" s="1132" t="s">
        <v>555</v>
      </c>
      <c r="C30" s="1133"/>
      <c r="D30" s="1133"/>
      <c r="E30" s="1133"/>
      <c r="F30" s="1133"/>
      <c r="G30" s="1133"/>
      <c r="H30" s="1134"/>
    </row>
    <row r="31" spans="2:9">
      <c r="B31" s="1151"/>
      <c r="C31" s="1152"/>
      <c r="D31" s="1023">
        <v>2020</v>
      </c>
      <c r="E31" s="1024">
        <v>2030</v>
      </c>
      <c r="F31" s="1024">
        <v>2040</v>
      </c>
      <c r="G31" s="1025">
        <v>2045</v>
      </c>
      <c r="H31" s="1026">
        <v>2050</v>
      </c>
      <c r="I31" s="599"/>
    </row>
    <row r="32" spans="2:9">
      <c r="B32" s="1153" t="s">
        <v>437</v>
      </c>
      <c r="C32" s="1154"/>
      <c r="D32" s="940">
        <f>Forecast!G53</f>
        <v>599263.07512561907</v>
      </c>
      <c r="E32" s="740">
        <f>Forecast!I53</f>
        <v>620211.92548662017</v>
      </c>
      <c r="F32" s="940">
        <f>Forecast!K53</f>
        <v>643497.58383373916</v>
      </c>
      <c r="G32" s="748">
        <f>M53</f>
        <v>656562.4613759761</v>
      </c>
      <c r="H32" s="941">
        <f>O53</f>
        <v>670274.2513184587</v>
      </c>
    </row>
    <row r="33" spans="1:22">
      <c r="B33" s="1155" t="s">
        <v>443</v>
      </c>
      <c r="C33" s="1156"/>
      <c r="D33" s="942">
        <v>0.15</v>
      </c>
      <c r="E33" s="741">
        <v>0.49</v>
      </c>
      <c r="F33" s="943">
        <v>0.83</v>
      </c>
      <c r="G33" s="749">
        <v>0.99999998999999995</v>
      </c>
      <c r="H33" s="944">
        <v>0.99999998999999995</v>
      </c>
    </row>
    <row r="34" spans="1:22">
      <c r="B34" s="1153" t="s">
        <v>444</v>
      </c>
      <c r="C34" s="1154"/>
      <c r="D34" s="940">
        <f>Forecast!C53*(1-D33)</f>
        <v>544136.85</v>
      </c>
      <c r="E34" s="740">
        <f>Forecast!C53*(1-E33)</f>
        <v>326482.11</v>
      </c>
      <c r="F34" s="940">
        <f>Forecast!C53*(1-F33)</f>
        <v>108827.37000000002</v>
      </c>
      <c r="G34" s="750">
        <f>Forecast!C53*(1-G33)</f>
        <v>6.4016100321665492E-3</v>
      </c>
      <c r="H34" s="945">
        <f>Forecast!C53*(1-H33)</f>
        <v>6.4016100321665492E-3</v>
      </c>
    </row>
    <row r="35" spans="1:22">
      <c r="B35" s="1155" t="s">
        <v>438</v>
      </c>
      <c r="C35" s="1156"/>
      <c r="D35" s="946">
        <f>D32-D34</f>
        <v>55126.225125619094</v>
      </c>
      <c r="E35" s="742">
        <f>E32-E34</f>
        <v>293729.81548662018</v>
      </c>
      <c r="F35" s="946">
        <f>F32-F34</f>
        <v>534670.21383373917</v>
      </c>
      <c r="G35" s="751">
        <f>G32-G34</f>
        <v>656562.45497436612</v>
      </c>
      <c r="H35" s="945">
        <f>H32-H34</f>
        <v>670274.24491684872</v>
      </c>
    </row>
    <row r="36" spans="1:22">
      <c r="B36" s="1155" t="s">
        <v>439</v>
      </c>
      <c r="C36" s="1157"/>
      <c r="D36" s="946">
        <f>Forecast!O161</f>
        <v>-415.96179261542784</v>
      </c>
      <c r="E36" s="742">
        <f>Forecast!P161</f>
        <v>-153399.02268020084</v>
      </c>
      <c r="F36" s="886">
        <f>Forecast!Q161</f>
        <v>-254226.40568972623</v>
      </c>
      <c r="G36" s="886">
        <f>Forecast!R161</f>
        <v>-293080.82049269922</v>
      </c>
      <c r="H36" s="945">
        <f>Forecast!S161</f>
        <v>-339080.78411292878</v>
      </c>
    </row>
    <row r="37" spans="1:22">
      <c r="B37" s="1155" t="s">
        <v>467</v>
      </c>
      <c r="C37" s="1157"/>
      <c r="D37" s="946">
        <v>-78241.839874129539</v>
      </c>
      <c r="E37" s="742">
        <v>-123588.33461378171</v>
      </c>
      <c r="F37" s="947">
        <v>-204697.26961139377</v>
      </c>
      <c r="G37" s="947">
        <v>-274266.86337440286</v>
      </c>
      <c r="H37" s="948">
        <v>-337440.29723121499</v>
      </c>
    </row>
    <row r="38" spans="1:22">
      <c r="B38" s="1155" t="s">
        <v>440</v>
      </c>
      <c r="C38" s="1156"/>
      <c r="D38" s="946">
        <f>SUM(D36,D37)</f>
        <v>-78657.80166674497</v>
      </c>
      <c r="E38" s="486">
        <f>SUM(E36,E37)</f>
        <v>-276987.35729398252</v>
      </c>
      <c r="F38" s="946">
        <f>SUM(F36,F37)</f>
        <v>-458923.67530112003</v>
      </c>
      <c r="G38" s="946">
        <f>SUM(G36,G37)</f>
        <v>-567347.68386710202</v>
      </c>
      <c r="H38" s="945">
        <f>SUM(H36,H37)</f>
        <v>-676521.08134414372</v>
      </c>
    </row>
    <row r="39" spans="1:22">
      <c r="B39" s="1153" t="s">
        <v>441</v>
      </c>
      <c r="C39" s="1154"/>
      <c r="D39" s="940">
        <f>D32+D36+D37</f>
        <v>520605.27345887409</v>
      </c>
      <c r="E39" s="743">
        <f>E32+E36+E37</f>
        <v>343224.56819263758</v>
      </c>
      <c r="F39" s="743">
        <f>F32+F36+F37</f>
        <v>184573.90853261916</v>
      </c>
      <c r="G39" s="940">
        <f>G32+G36+G37</f>
        <v>89214.777508874016</v>
      </c>
      <c r="H39" s="949">
        <f>H32+H36+H37</f>
        <v>-6246.830025685078</v>
      </c>
    </row>
    <row r="40" spans="1:22">
      <c r="B40" s="1153" t="s">
        <v>442</v>
      </c>
      <c r="C40" s="1154"/>
      <c r="D40" s="497">
        <f>(Forecast!C53-D39)/Forecast!C53</f>
        <v>0.18675884119951999</v>
      </c>
      <c r="E40" s="744">
        <f>(Forecast!C53-E39)/Forecast!C53</f>
        <v>0.4638464883167866</v>
      </c>
      <c r="F40" s="497">
        <f>(Forecast!C53-F39)/Forecast!C53</f>
        <v>0.71167579947447734</v>
      </c>
      <c r="G40" s="853">
        <f>(Forecast!C53-G39)/Forecast!C53</f>
        <v>0.8606369686549572</v>
      </c>
      <c r="H40" s="944">
        <f>(Forecast!C53-H39)/Forecast!C53</f>
        <v>1.0097582171136401</v>
      </c>
    </row>
    <row r="41" spans="1:22">
      <c r="B41" s="1153" t="s">
        <v>47</v>
      </c>
      <c r="C41" s="1154"/>
      <c r="D41" s="497" t="str">
        <f>IF(D34&gt;D39,"Yes", "No")</f>
        <v>Yes</v>
      </c>
      <c r="E41" s="652" t="str">
        <f>IF(E34&gt;E39,"Yes", "No")</f>
        <v>No</v>
      </c>
      <c r="F41" s="497" t="str">
        <f>IF(F34&gt;F39,"Yes", "No")</f>
        <v>No</v>
      </c>
      <c r="G41" s="497" t="str">
        <f>IF(G34&gt;G39,"Yes", "No")</f>
        <v>No</v>
      </c>
      <c r="H41" s="570" t="str">
        <f>IF(H34&gt;H39,"Yes", "No")</f>
        <v>Yes</v>
      </c>
    </row>
    <row r="42" spans="1:22" ht="16" thickBot="1">
      <c r="B42" s="1158" t="s">
        <v>445</v>
      </c>
      <c r="C42" s="1159"/>
      <c r="D42" s="950">
        <f>D35+D38</f>
        <v>-23531.576541125876</v>
      </c>
      <c r="E42" s="951">
        <f>E35+E38</f>
        <v>16742.458192637656</v>
      </c>
      <c r="F42" s="951">
        <f>F35+F38</f>
        <v>75746.538532619132</v>
      </c>
      <c r="G42" s="950">
        <f>G35+G38</f>
        <v>89214.771107264096</v>
      </c>
      <c r="H42" s="1027">
        <f>H35+H38</f>
        <v>-6246.8364272949984</v>
      </c>
    </row>
    <row r="43" spans="1:22" ht="33.75" customHeight="1" thickBot="1">
      <c r="B43" s="1160" t="s">
        <v>554</v>
      </c>
      <c r="C43" s="1161"/>
      <c r="D43" s="1161"/>
      <c r="E43" s="1161"/>
      <c r="F43" s="1161"/>
      <c r="G43" s="1161"/>
      <c r="H43" s="1162"/>
    </row>
    <row r="44" spans="1:22" ht="16" thickBot="1"/>
    <row r="45" spans="1:22" ht="21" customHeight="1" thickBot="1">
      <c r="B45" s="1203" t="s">
        <v>449</v>
      </c>
      <c r="C45" s="1204"/>
      <c r="D45" s="1204"/>
      <c r="E45" s="1204"/>
      <c r="F45" s="1204"/>
      <c r="G45" s="1204"/>
      <c r="H45" s="1204"/>
      <c r="I45" s="1204"/>
      <c r="J45" s="1204"/>
      <c r="K45" s="1204"/>
      <c r="L45" s="1204"/>
      <c r="M45" s="1204"/>
      <c r="N45" s="1204"/>
      <c r="O45" s="1205"/>
      <c r="P45" s="16"/>
      <c r="Q45" s="16"/>
      <c r="R45" s="16"/>
      <c r="S45" s="16"/>
      <c r="T45" s="16"/>
    </row>
    <row r="46" spans="1:22">
      <c r="A46" s="446"/>
      <c r="B46" s="1145" t="s">
        <v>1</v>
      </c>
      <c r="C46" s="440">
        <v>2005</v>
      </c>
      <c r="D46" s="441">
        <v>2010</v>
      </c>
      <c r="E46" s="442">
        <v>2017</v>
      </c>
      <c r="F46" s="1147">
        <v>2020</v>
      </c>
      <c r="G46" s="1148"/>
      <c r="H46" s="1149">
        <v>2030</v>
      </c>
      <c r="I46" s="1150"/>
      <c r="J46" s="1169">
        <v>2040</v>
      </c>
      <c r="K46" s="1170"/>
      <c r="L46" s="1165">
        <v>2045</v>
      </c>
      <c r="M46" s="1166"/>
      <c r="N46" s="1165">
        <v>2050</v>
      </c>
      <c r="O46" s="1166"/>
      <c r="P46" s="16"/>
      <c r="Q46" s="16"/>
      <c r="R46" s="16"/>
      <c r="S46" s="16"/>
      <c r="T46" s="16"/>
      <c r="U46" s="16"/>
      <c r="V46" s="16"/>
    </row>
    <row r="47" spans="1:22" ht="51" customHeight="1">
      <c r="A47" s="446"/>
      <c r="B47" s="1146"/>
      <c r="C47" s="723" t="s">
        <v>455</v>
      </c>
      <c r="D47" s="724" t="s">
        <v>455</v>
      </c>
      <c r="E47" s="725" t="s">
        <v>455</v>
      </c>
      <c r="F47" s="546" t="s">
        <v>509</v>
      </c>
      <c r="G47" s="547" t="s">
        <v>455</v>
      </c>
      <c r="H47" s="726" t="s">
        <v>510</v>
      </c>
      <c r="I47" s="543" t="s">
        <v>456</v>
      </c>
      <c r="J47" s="543" t="s">
        <v>517</v>
      </c>
      <c r="K47" s="543" t="s">
        <v>637</v>
      </c>
      <c r="L47" s="727" t="s">
        <v>517</v>
      </c>
      <c r="M47" s="728" t="s">
        <v>456</v>
      </c>
      <c r="N47" s="727" t="s">
        <v>517</v>
      </c>
      <c r="O47" s="728" t="s">
        <v>456</v>
      </c>
      <c r="P47" s="16"/>
      <c r="Q47" s="16"/>
      <c r="R47" s="16"/>
      <c r="S47" s="16"/>
      <c r="T47" s="16"/>
      <c r="U47" s="16"/>
      <c r="V47" s="16"/>
    </row>
    <row r="48" spans="1:22">
      <c r="A48" s="446"/>
      <c r="B48" s="548" t="s">
        <v>2</v>
      </c>
      <c r="C48" s="190">
        <f>SUM('GHG Inventories'!D19:D20)</f>
        <v>99144</v>
      </c>
      <c r="D48" s="188">
        <f>SUM('GHG Inventories'!D37:D38)</f>
        <v>98214.561147503584</v>
      </c>
      <c r="E48" s="193">
        <f>SUM('GHG Inventories'!D58:D59)</f>
        <v>80693.895659389003</v>
      </c>
      <c r="F48" s="549">
        <f>(D59/D58)^(1/10)-1</f>
        <v>4.0614940546006562E-3</v>
      </c>
      <c r="G48" s="544">
        <f>E48*(1+F48)^'GHG Inventories'!$C$11</f>
        <v>81681.107713157617</v>
      </c>
      <c r="H48" s="729">
        <f>(D60/D58)^(1/20)-1</f>
        <v>4.0760184110770759E-3</v>
      </c>
      <c r="I48" s="544">
        <f>E48*(1+H48)^'GHG Inventories'!$C$12</f>
        <v>85075.872109910662</v>
      </c>
      <c r="J48" s="715">
        <f>(D61/D58)^(1/30)-1</f>
        <v>4.4537023155368782E-3</v>
      </c>
      <c r="K48" s="544">
        <f>E48*(1+J48)^'GHG Inventories'!$C$13</f>
        <v>89377.649959801813</v>
      </c>
      <c r="L48" s="730">
        <f>(D62/D58)^(1/35)-1</f>
        <v>4.9945387857048829E-3</v>
      </c>
      <c r="M48" s="716">
        <f>E48*(1+L48)^'GHG Inventories'!$C$14</f>
        <v>92773.583498275737</v>
      </c>
      <c r="N48" s="717">
        <f>(D63/D58)^(1/40)-1</f>
        <v>5.4387920332972239E-3</v>
      </c>
      <c r="O48" s="193">
        <f>E48*(1+N48)^'GHG Inventories'!$C$15</f>
        <v>96510.976893841274</v>
      </c>
      <c r="P48" s="16"/>
      <c r="Q48" s="16"/>
      <c r="R48" s="16"/>
      <c r="S48" s="16"/>
      <c r="T48" s="16"/>
      <c r="U48" s="16"/>
      <c r="V48" s="16"/>
    </row>
    <row r="49" spans="1:22">
      <c r="A49" s="446"/>
      <c r="B49" s="548" t="s">
        <v>3</v>
      </c>
      <c r="C49" s="190">
        <f>SUM('GHG Inventories'!D21:D23)</f>
        <v>189166</v>
      </c>
      <c r="D49" s="188">
        <f>SUM('GHG Inventories'!D39:D42)</f>
        <v>202922.09174584865</v>
      </c>
      <c r="E49" s="193">
        <f>SUM('GHG Inventories'!D60:D63)</f>
        <v>172465.20033323872</v>
      </c>
      <c r="F49" s="549">
        <f>(D65/D64)^(1/10)-1</f>
        <v>9.5414126320407799E-3</v>
      </c>
      <c r="G49" s="544">
        <f>E49*(1+F49)^'GHG Inventories'!$C$11</f>
        <v>177449.13801381979</v>
      </c>
      <c r="H49" s="729">
        <f>(D66/D64)^(1/20)-1</f>
        <v>6.6506721091372789E-3</v>
      </c>
      <c r="I49" s="544">
        <f>E49*(1+H49)^'GHG Inventories'!$C$12</f>
        <v>187986.09181575305</v>
      </c>
      <c r="J49" s="715">
        <f>(D67/D64)^(1/30)-1</f>
        <v>6.3944177610164576E-3</v>
      </c>
      <c r="K49" s="544">
        <f>E49*(1+J49)^'GHG Inventories'!$C$13</f>
        <v>199696.52990354112</v>
      </c>
      <c r="L49" s="730">
        <f>(D68/D64)^(1/35)-1</f>
        <v>6.2847709004891783E-3</v>
      </c>
      <c r="M49" s="716">
        <f>E49*(1+L49)^'GHG Inventories'!$C$14</f>
        <v>205535.42290667206</v>
      </c>
      <c r="N49" s="717">
        <f>(D69/D64)^(1/40)-1</f>
        <v>6.2166428143841657E-3</v>
      </c>
      <c r="O49" s="193">
        <f>E49*(1+N49)^'GHG Inventories'!$C$15</f>
        <v>211602.52919313221</v>
      </c>
      <c r="P49" s="16"/>
      <c r="Q49" s="16"/>
      <c r="R49" s="16"/>
      <c r="S49" s="16"/>
      <c r="T49" s="16"/>
      <c r="U49" s="16"/>
      <c r="V49" s="16"/>
    </row>
    <row r="50" spans="1:22">
      <c r="A50" s="446"/>
      <c r="B50" s="548" t="s">
        <v>18</v>
      </c>
      <c r="C50" s="190">
        <f>SUM('GHG Inventories'!D24:D29)</f>
        <v>329495</v>
      </c>
      <c r="D50" s="188">
        <f>SUM('GHG Inventories'!D43:D49)</f>
        <v>300405.19790402672</v>
      </c>
      <c r="E50" s="193">
        <f>SUM('GHG Inventories'!D64:D70)</f>
        <v>324951.81059885427</v>
      </c>
      <c r="F50" s="549">
        <f>VLOOKUP(Forecast!$C$4,'State Policies + Assumptions'!B253:E274,4,FALSE)</f>
        <v>1.940866536300323E-3</v>
      </c>
      <c r="G50" s="544">
        <f>E50*(1+F50)^'GHG Inventories'!$C$11</f>
        <v>326847.54950419342</v>
      </c>
      <c r="H50" s="729">
        <f>VLOOKUP(Forecast!$C$4,'State Policies + Assumptions'!B253:E274,4,FALSE)</f>
        <v>1.940866536300323E-3</v>
      </c>
      <c r="I50" s="544">
        <f>E50*(1+H50)^'GHG Inventories'!$C$12</f>
        <v>333246.91696698696</v>
      </c>
      <c r="J50" s="715">
        <f>VLOOKUP(Forecast!$C$4,'State Policies + Assumptions'!B253:E274,4,FALSE)</f>
        <v>1.940866536300323E-3</v>
      </c>
      <c r="K50" s="544">
        <f>E50*(1+J50)^'GHG Inventories'!$C$13</f>
        <v>339771.57802303525</v>
      </c>
      <c r="L50" s="730">
        <f>VLOOKUP(Forecast!$C$4,'State Policies + Assumptions'!B253:E274,4,FALSE)</f>
        <v>1.940866536300323E-3</v>
      </c>
      <c r="M50" s="716">
        <f>E50*(1+L50)^'GHG Inventories'!$C$14</f>
        <v>343081.65838661994</v>
      </c>
      <c r="N50" s="717">
        <f>VLOOKUP(Forecast!$C$4,'State Policies + Assumptions'!B253:E274,4,FALSE)</f>
        <v>1.940866536300323E-3</v>
      </c>
      <c r="O50" s="193">
        <f>E50*(1+N50)^'GHG Inventories'!$C$15</f>
        <v>346423.98580299556</v>
      </c>
      <c r="P50" s="16"/>
      <c r="Q50" s="16"/>
      <c r="R50" s="16"/>
      <c r="S50" s="16"/>
      <c r="T50" s="16"/>
      <c r="U50" s="16"/>
      <c r="V50" s="16"/>
    </row>
    <row r="51" spans="1:22">
      <c r="A51" s="446"/>
      <c r="B51" s="548" t="s">
        <v>26</v>
      </c>
      <c r="C51" s="190">
        <f>SUM('GHG Inventories'!D30:D32)</f>
        <v>22356</v>
      </c>
      <c r="D51" s="188">
        <f>SUM('GHG Inventories'!D50:D52)</f>
        <v>14218.978721094776</v>
      </c>
      <c r="E51" s="193">
        <f>SUM('GHG Inventories'!D71:D73)</f>
        <v>12170.614900256112</v>
      </c>
      <c r="F51" s="549">
        <f>((D59+D65)/(D58+D64))^(1/10)-1</f>
        <v>5.5901446822717027E-3</v>
      </c>
      <c r="G51" s="544">
        <f>E51*(1+F51)^'GHG Inventories'!$C$11</f>
        <v>12375.864505674959</v>
      </c>
      <c r="H51" s="729">
        <f>((D60+D66)/(D58+D64))^(1/20)-1</f>
        <v>4.7941428184399282E-3</v>
      </c>
      <c r="I51" s="544">
        <f>E51*(1+H51)^'GHG Inventories'!$C$12</f>
        <v>12951.341445446395</v>
      </c>
      <c r="J51" s="715">
        <f>((D61+D67)/(D58+D64))^(1/30)-1</f>
        <v>4.9964430479310096E-3</v>
      </c>
      <c r="K51" s="544">
        <f>E51*(1+J51)^'GHG Inventories'!$C$13</f>
        <v>13648.86657458001</v>
      </c>
      <c r="L51" s="730">
        <f>((D62+D68)/(D58+D64))^(1/35)-1</f>
        <v>5.3537554888158922E-3</v>
      </c>
      <c r="M51" s="716">
        <f>E51*(1+L51)^'GHG Inventories'!$C$14</f>
        <v>14133.243735027781</v>
      </c>
      <c r="N51" s="718">
        <f>((D63+D69)/(D58+D64))^(1/40)-1</f>
        <v>5.6543021227175583E-3</v>
      </c>
      <c r="O51" s="193">
        <f>E51*(1+N51)^'GHG Inventories'!$C$15</f>
        <v>14659.53325731426</v>
      </c>
      <c r="P51" s="16"/>
      <c r="Q51" s="16"/>
      <c r="R51" s="16"/>
      <c r="S51" s="16"/>
      <c r="T51" s="16"/>
      <c r="U51" s="16"/>
      <c r="V51" s="16"/>
    </row>
    <row r="52" spans="1:22">
      <c r="A52" s="446"/>
      <c r="B52" s="548" t="s">
        <v>23</v>
      </c>
      <c r="C52" s="190">
        <v>0</v>
      </c>
      <c r="D52" s="188">
        <f>'GHG Inventories'!D53</f>
        <v>1569.0226964129158</v>
      </c>
      <c r="E52" s="193">
        <f>'GHG Inventories'!D74</f>
        <v>894.33303637502513</v>
      </c>
      <c r="F52" s="549">
        <f>F51</f>
        <v>5.5901446822717027E-3</v>
      </c>
      <c r="G52" s="544">
        <f>E52*(1+F52)^'GHG Inventories'!$C$11</f>
        <v>909.41538877327162</v>
      </c>
      <c r="H52" s="729">
        <f>H51</f>
        <v>4.7941428184399282E-3</v>
      </c>
      <c r="I52" s="544">
        <f>E52*(1+H52)^'GHG Inventories'!$C$12</f>
        <v>951.70314852309048</v>
      </c>
      <c r="J52" s="715">
        <f>J51</f>
        <v>4.9964430479310096E-3</v>
      </c>
      <c r="K52" s="544">
        <f>E52*(1+J52)^'GHG Inventories'!$C$13</f>
        <v>1002.959372781145</v>
      </c>
      <c r="L52" s="731">
        <f>L51</f>
        <v>5.3537554888158922E-3</v>
      </c>
      <c r="M52" s="716">
        <f>E52*(1+L52)^'GHG Inventories'!$C$14</f>
        <v>1038.5528493806596</v>
      </c>
      <c r="N52" s="719">
        <f>N51</f>
        <v>5.6543021227175583E-3</v>
      </c>
      <c r="O52" s="193">
        <f>E52*(1+N52)^'GHG Inventories'!$C$15</f>
        <v>1077.2261711755118</v>
      </c>
      <c r="P52" s="16"/>
      <c r="Q52" s="16"/>
      <c r="R52" s="16"/>
      <c r="S52" s="16"/>
      <c r="T52" s="16"/>
      <c r="U52" s="16"/>
      <c r="V52" s="16"/>
    </row>
    <row r="53" spans="1:22" ht="16" thickBot="1">
      <c r="A53" s="446"/>
      <c r="B53" s="550" t="s">
        <v>6</v>
      </c>
      <c r="C53" s="732">
        <f>SUM(C48:C52)</f>
        <v>640161</v>
      </c>
      <c r="D53" s="733">
        <f>SUM(D48:D52)</f>
        <v>617329.85221488657</v>
      </c>
      <c r="E53" s="734">
        <f>SUM(E48:E52)</f>
        <v>591175.85452811315</v>
      </c>
      <c r="F53" s="551">
        <f>(G53/E53)^(1/5)-1</f>
        <v>2.7211285452644063E-3</v>
      </c>
      <c r="G53" s="552">
        <f>SUM(G48:G52)</f>
        <v>599263.07512561907</v>
      </c>
      <c r="H53" s="735">
        <f>(I53/E53)^(1/15)-1</f>
        <v>3.2016281379456668E-3</v>
      </c>
      <c r="I53" s="545">
        <f>SUM(I48:I52)</f>
        <v>620211.92548662017</v>
      </c>
      <c r="J53" s="737">
        <f>(K53/E53)^(1/15)-1</f>
        <v>5.6696617028126894E-3</v>
      </c>
      <c r="K53" s="545">
        <f>SUM(K48:K52)</f>
        <v>643497.58383373916</v>
      </c>
      <c r="L53" s="736">
        <f>(M53/E53)^(1/15)-1</f>
        <v>7.018132797812271E-3</v>
      </c>
      <c r="M53" s="738">
        <f>SUM(M48:M52)</f>
        <v>656562.4613759761</v>
      </c>
      <c r="N53" s="736">
        <f>(O53/E53)^(1/15)-1</f>
        <v>8.4067016231323954E-3</v>
      </c>
      <c r="O53" s="739">
        <f>SUM(O48:O52)</f>
        <v>670274.2513184587</v>
      </c>
      <c r="P53" s="16"/>
      <c r="Q53" s="16"/>
      <c r="R53" s="16"/>
      <c r="S53" s="16"/>
      <c r="T53" s="16"/>
      <c r="U53" s="16"/>
      <c r="V53" s="16"/>
    </row>
    <row r="54" spans="1:22" ht="35.25" customHeight="1" thickBot="1">
      <c r="B54" s="1160" t="s">
        <v>95</v>
      </c>
      <c r="C54" s="1161"/>
      <c r="D54" s="1161"/>
      <c r="E54" s="1161"/>
      <c r="F54" s="1161"/>
      <c r="G54" s="1161"/>
      <c r="H54" s="1161"/>
      <c r="I54" s="1161"/>
      <c r="J54" s="1161"/>
      <c r="K54" s="1161"/>
      <c r="L54" s="1161"/>
      <c r="M54" s="1161"/>
      <c r="N54" s="1161"/>
      <c r="O54" s="1162"/>
      <c r="P54" s="16"/>
      <c r="Q54" s="16"/>
      <c r="R54" s="16"/>
      <c r="S54" s="16"/>
      <c r="T54" s="16"/>
    </row>
    <row r="55" spans="1:22" ht="14.25" customHeight="1" thickBot="1">
      <c r="B55" s="17"/>
      <c r="C55" s="15"/>
      <c r="D55" s="15"/>
      <c r="E55" s="15"/>
      <c r="F55" s="15"/>
      <c r="G55" s="14"/>
      <c r="H55" s="14"/>
      <c r="I55" s="15"/>
      <c r="J55" s="152"/>
      <c r="K55" s="15"/>
      <c r="N55" s="16"/>
      <c r="O55" s="16"/>
      <c r="P55" s="16"/>
      <c r="Q55" s="16"/>
      <c r="R55" s="16"/>
      <c r="S55" s="16"/>
      <c r="T55" s="16"/>
      <c r="U55" s="16"/>
      <c r="V55" s="16"/>
    </row>
    <row r="56" spans="1:22" ht="18.5" thickBot="1">
      <c r="B56" s="1142" t="s">
        <v>450</v>
      </c>
      <c r="C56" s="1143"/>
      <c r="D56" s="1143"/>
      <c r="E56" s="1144"/>
      <c r="H56" s="23"/>
      <c r="N56" s="16"/>
      <c r="O56" s="16"/>
      <c r="P56" s="16"/>
      <c r="Q56" s="16"/>
      <c r="R56" s="16"/>
      <c r="S56" s="16"/>
      <c r="T56" s="16"/>
      <c r="U56" s="16"/>
      <c r="V56" s="16"/>
    </row>
    <row r="57" spans="1:22">
      <c r="B57" s="443" t="s">
        <v>1</v>
      </c>
      <c r="C57" s="444" t="s">
        <v>7</v>
      </c>
      <c r="D57" s="444" t="s">
        <v>16</v>
      </c>
      <c r="E57" s="445" t="s">
        <v>41</v>
      </c>
      <c r="I57" s="22"/>
      <c r="J57" s="24"/>
      <c r="K57" s="16"/>
      <c r="L57" s="16"/>
      <c r="M57" s="16"/>
      <c r="N57" s="16"/>
      <c r="O57" s="16"/>
      <c r="P57" s="16"/>
      <c r="Q57" s="16"/>
      <c r="R57" s="16"/>
      <c r="S57" s="16"/>
    </row>
    <row r="58" spans="1:22">
      <c r="B58" s="1167" t="s">
        <v>465</v>
      </c>
      <c r="C58" s="404">
        <v>2010</v>
      </c>
      <c r="D58" s="408">
        <f>VLOOKUP($C$4,'Plan Bay Area Data'!B109:K132,2)</f>
        <v>6914</v>
      </c>
      <c r="E58" s="406" t="s">
        <v>312</v>
      </c>
      <c r="I58" s="22"/>
      <c r="J58" s="24"/>
      <c r="K58" s="16"/>
      <c r="L58" s="16"/>
      <c r="M58" s="16"/>
      <c r="N58" s="16"/>
      <c r="O58" s="16"/>
      <c r="P58" s="16"/>
      <c r="Q58" s="16"/>
      <c r="R58" s="16"/>
      <c r="S58" s="16"/>
    </row>
    <row r="59" spans="1:22">
      <c r="B59" s="1168"/>
      <c r="C59" s="404">
        <v>2020</v>
      </c>
      <c r="D59" s="408">
        <f>VLOOKUP($C$4,'Plan Bay Area Data'!B109:K132,4)</f>
        <v>7200</v>
      </c>
      <c r="E59" s="406" t="s">
        <v>313</v>
      </c>
      <c r="I59" s="22"/>
      <c r="J59" s="24"/>
      <c r="K59" s="16"/>
      <c r="L59" s="16"/>
      <c r="M59" s="16"/>
      <c r="N59" s="16"/>
      <c r="O59" s="16"/>
      <c r="P59" s="16"/>
      <c r="Q59" s="16"/>
      <c r="R59" s="16"/>
      <c r="S59" s="16"/>
    </row>
    <row r="60" spans="1:22">
      <c r="B60" s="1168"/>
      <c r="C60" s="404">
        <v>2030</v>
      </c>
      <c r="D60" s="408">
        <f>VLOOKUP($C$4,'Plan Bay Area Data'!B109:K132,6)</f>
        <v>7500</v>
      </c>
      <c r="E60" s="406" t="s">
        <v>313</v>
      </c>
      <c r="H60" s="163"/>
      <c r="I60" s="22"/>
      <c r="J60" s="164"/>
      <c r="K60" s="16"/>
      <c r="L60" s="16"/>
      <c r="M60" s="16"/>
      <c r="N60" s="16"/>
      <c r="O60" s="16"/>
      <c r="P60" s="16"/>
      <c r="Q60" s="16"/>
      <c r="R60" s="16"/>
      <c r="S60" s="16"/>
    </row>
    <row r="61" spans="1:22">
      <c r="B61" s="600"/>
      <c r="C61" s="404">
        <v>2040</v>
      </c>
      <c r="D61" s="408">
        <f>VLOOKUP($C$4,'Plan Bay Area Data'!B109:I132,8)</f>
        <v>7900</v>
      </c>
      <c r="E61" s="406" t="s">
        <v>313</v>
      </c>
      <c r="H61" s="163"/>
      <c r="I61" s="22"/>
      <c r="J61" s="164"/>
      <c r="K61" s="16"/>
      <c r="L61" s="16"/>
      <c r="M61" s="16"/>
      <c r="N61" s="16"/>
      <c r="O61" s="16"/>
      <c r="P61" s="16"/>
      <c r="Q61" s="16"/>
      <c r="R61" s="16"/>
      <c r="S61" s="16"/>
    </row>
    <row r="62" spans="1:22">
      <c r="B62" s="600"/>
      <c r="C62" s="404">
        <v>2045</v>
      </c>
      <c r="D62" s="706">
        <f>VLOOKUP($C$4,'Plan Bay Area Data'!B109:K132,9)</f>
        <v>8231.1200774688459</v>
      </c>
      <c r="E62" s="406" t="s">
        <v>313</v>
      </c>
      <c r="F62" s="553"/>
      <c r="H62" s="163"/>
      <c r="I62" s="22"/>
      <c r="J62" s="164"/>
      <c r="K62" s="16"/>
      <c r="L62" s="16"/>
      <c r="M62" s="16"/>
      <c r="N62" s="16"/>
      <c r="O62" s="16"/>
      <c r="P62" s="16"/>
      <c r="Q62" s="16"/>
      <c r="R62" s="16"/>
      <c r="S62" s="16"/>
    </row>
    <row r="63" spans="1:22" ht="16" thickBot="1">
      <c r="B63" s="600"/>
      <c r="C63" s="409">
        <v>2050</v>
      </c>
      <c r="D63" s="598">
        <f>VLOOKUP($C$4,'Plan Bay Area Data'!B109:K132,10)</f>
        <v>8589.2425160059047</v>
      </c>
      <c r="E63" s="410" t="s">
        <v>313</v>
      </c>
      <c r="F63" s="553"/>
      <c r="H63" s="163"/>
      <c r="I63" s="22"/>
      <c r="J63" s="164"/>
      <c r="K63" s="16"/>
      <c r="L63" s="16"/>
      <c r="M63" s="16"/>
      <c r="N63" s="16"/>
      <c r="O63" s="16"/>
      <c r="P63" s="16"/>
      <c r="Q63" s="16"/>
      <c r="R63" s="16"/>
      <c r="S63" s="16"/>
    </row>
    <row r="64" spans="1:22">
      <c r="B64" s="1171" t="s">
        <v>17</v>
      </c>
      <c r="C64" s="707">
        <v>2010</v>
      </c>
      <c r="D64" s="411">
        <f>VLOOKUP($C$4,'Plan Bay Area Data'!$B$84:$K$105,2)</f>
        <v>2610</v>
      </c>
      <c r="E64" s="412" t="s">
        <v>314</v>
      </c>
      <c r="F64" s="553"/>
      <c r="H64" s="163"/>
      <c r="I64" s="21"/>
      <c r="J64" s="164"/>
      <c r="K64" s="16"/>
      <c r="L64" s="16"/>
      <c r="M64" s="16"/>
      <c r="N64" s="16"/>
      <c r="O64" s="16"/>
      <c r="P64" s="16"/>
      <c r="Q64" s="16"/>
      <c r="R64" s="16"/>
      <c r="S64" s="16"/>
    </row>
    <row r="65" spans="1:22">
      <c r="A65" s="553"/>
      <c r="B65" s="1172"/>
      <c r="C65" s="708">
        <v>2020</v>
      </c>
      <c r="D65" s="408">
        <f>VLOOKUP($C$4,'Plan Bay Area Data'!$B$84:$K$105,4)</f>
        <v>2870</v>
      </c>
      <c r="E65" s="406" t="s">
        <v>313</v>
      </c>
      <c r="F65" s="712"/>
      <c r="I65" s="21"/>
      <c r="J65" s="24"/>
      <c r="K65" s="16"/>
      <c r="L65" s="16"/>
      <c r="M65" s="16"/>
      <c r="N65" s="16"/>
      <c r="O65" s="16"/>
      <c r="P65" s="16"/>
      <c r="Q65" s="16"/>
      <c r="R65" s="16"/>
      <c r="S65" s="16"/>
    </row>
    <row r="66" spans="1:22">
      <c r="B66" s="1172"/>
      <c r="C66" s="708">
        <v>2030</v>
      </c>
      <c r="D66" s="408">
        <f>VLOOKUP($C$4,'Plan Bay Area Data'!$B$84:$K$105,6)</f>
        <v>2980</v>
      </c>
      <c r="E66" s="406" t="s">
        <v>313</v>
      </c>
      <c r="I66" s="21"/>
      <c r="J66" s="24"/>
    </row>
    <row r="67" spans="1:22">
      <c r="B67" s="1172"/>
      <c r="C67" s="708">
        <v>2040</v>
      </c>
      <c r="D67" s="408">
        <f>VLOOKUP($C$4,'Plan Bay Area Data'!$B$84:$K$105,8)</f>
        <v>3160</v>
      </c>
      <c r="E67" s="406" t="s">
        <v>313</v>
      </c>
      <c r="I67" s="21"/>
      <c r="J67" s="24"/>
    </row>
    <row r="68" spans="1:22">
      <c r="B68" s="1172"/>
      <c r="C68" s="708">
        <v>2045</v>
      </c>
      <c r="D68" s="706">
        <f>VLOOKUP($C$4,'Plan Bay Area Data'!$B$84:$K$105,9)</f>
        <v>3249.9150720955386</v>
      </c>
      <c r="E68" s="406" t="s">
        <v>313</v>
      </c>
      <c r="F68" s="553"/>
      <c r="I68" s="21"/>
      <c r="J68" s="24"/>
    </row>
    <row r="69" spans="1:22" ht="16" thickBot="1">
      <c r="B69" s="1173"/>
      <c r="C69" s="709">
        <v>2050</v>
      </c>
      <c r="D69" s="710">
        <f>VLOOKUP($C$4,'Plan Bay Area Data'!$B$84:$K$105,10)</f>
        <v>3344.2624950190402</v>
      </c>
      <c r="E69" s="711" t="s">
        <v>313</v>
      </c>
      <c r="F69" s="553"/>
      <c r="I69" s="21"/>
      <c r="J69" s="24"/>
    </row>
    <row r="70" spans="1:22" ht="12.75" customHeight="1" thickBot="1">
      <c r="B70" s="10"/>
      <c r="C70" s="713"/>
      <c r="D70" s="19"/>
      <c r="E70" s="714"/>
      <c r="J70" s="24"/>
    </row>
    <row r="71" spans="1:22" ht="20.25" customHeight="1" thickBot="1">
      <c r="B71" s="1132" t="s">
        <v>451</v>
      </c>
      <c r="C71" s="1133"/>
      <c r="D71" s="1133"/>
      <c r="E71" s="1133"/>
      <c r="F71" s="1133"/>
      <c r="G71" s="1133"/>
      <c r="H71" s="1133"/>
      <c r="I71" s="1133"/>
      <c r="J71" s="1133"/>
      <c r="K71" s="1133"/>
      <c r="L71" s="1133"/>
      <c r="M71" s="1134"/>
      <c r="N71" s="1032"/>
      <c r="O71" s="1032"/>
    </row>
    <row r="72" spans="1:22" ht="79.5" customHeight="1">
      <c r="B72" s="1033" t="s">
        <v>7</v>
      </c>
      <c r="C72" s="1034" t="s">
        <v>45</v>
      </c>
      <c r="D72" s="1035" t="s">
        <v>46</v>
      </c>
      <c r="E72" s="1036" t="s">
        <v>303</v>
      </c>
      <c r="F72" s="1037" t="s">
        <v>103</v>
      </c>
      <c r="G72" s="1038" t="s">
        <v>104</v>
      </c>
      <c r="H72" s="1039" t="s">
        <v>309</v>
      </c>
      <c r="I72" s="1039" t="s">
        <v>310</v>
      </c>
      <c r="J72" s="1039" t="s">
        <v>645</v>
      </c>
      <c r="K72" s="1039" t="s">
        <v>556</v>
      </c>
      <c r="L72" s="1039" t="s">
        <v>644</v>
      </c>
      <c r="M72" s="1040" t="s">
        <v>44</v>
      </c>
      <c r="U72" s="24"/>
      <c r="V72" s="11"/>
    </row>
    <row r="73" spans="1:22">
      <c r="B73" s="522">
        <v>2005</v>
      </c>
      <c r="C73" s="1041"/>
      <c r="D73" s="1041"/>
      <c r="E73" s="1041"/>
      <c r="F73" s="1041"/>
      <c r="G73" s="753"/>
      <c r="H73" s="158">
        <f>Forecast!$D$34</f>
        <v>544136.85</v>
      </c>
      <c r="I73" s="158">
        <f>Forecast!$E$34</f>
        <v>326482.11</v>
      </c>
      <c r="J73" s="158">
        <f>Forecast!$F$34</f>
        <v>108827.37000000002</v>
      </c>
      <c r="K73" s="158">
        <f>Forecast!$G$34</f>
        <v>6.4016100321665492E-3</v>
      </c>
      <c r="L73" s="158">
        <v>0</v>
      </c>
      <c r="M73" s="1042">
        <f>C53</f>
        <v>640161</v>
      </c>
      <c r="V73" s="11"/>
    </row>
    <row r="74" spans="1:22">
      <c r="B74" s="522">
        <v>2006</v>
      </c>
      <c r="C74" s="1041"/>
      <c r="D74" s="1041"/>
      <c r="E74" s="1041"/>
      <c r="F74" s="1041"/>
      <c r="G74" s="753"/>
      <c r="H74" s="158">
        <f>Forecast!$D$34</f>
        <v>544136.85</v>
      </c>
      <c r="I74" s="158">
        <f>Forecast!$E$34</f>
        <v>326482.11</v>
      </c>
      <c r="J74" s="158">
        <f>Forecast!$F$34</f>
        <v>108827.37000000002</v>
      </c>
      <c r="K74" s="158">
        <f>Forecast!$G$34</f>
        <v>6.4016100321665492E-3</v>
      </c>
      <c r="L74" s="158">
        <v>0</v>
      </c>
      <c r="M74" s="1042">
        <f>M73*(1+$C$127)^1</f>
        <v>635528.19944884523</v>
      </c>
      <c r="V74" s="11"/>
    </row>
    <row r="75" spans="1:22">
      <c r="B75" s="522">
        <v>2007</v>
      </c>
      <c r="C75" s="1041"/>
      <c r="D75" s="1041"/>
      <c r="E75" s="1041"/>
      <c r="F75" s="1041"/>
      <c r="G75" s="753"/>
      <c r="H75" s="158">
        <f>Forecast!$D$34</f>
        <v>544136.85</v>
      </c>
      <c r="I75" s="158">
        <f>Forecast!$E$34</f>
        <v>326482.11</v>
      </c>
      <c r="J75" s="158">
        <f>Forecast!$F$34</f>
        <v>108827.37000000002</v>
      </c>
      <c r="K75" s="158">
        <f>Forecast!$G$34</f>
        <v>6.4016100321665492E-3</v>
      </c>
      <c r="L75" s="158">
        <v>0</v>
      </c>
      <c r="M75" s="1042">
        <f>M74*(1+$C$127)^1</f>
        <v>630928.92615246982</v>
      </c>
      <c r="V75" s="11"/>
    </row>
    <row r="76" spans="1:22">
      <c r="B76" s="522">
        <v>2008</v>
      </c>
      <c r="C76" s="1041"/>
      <c r="D76" s="1041"/>
      <c r="E76" s="1041"/>
      <c r="F76" s="1041"/>
      <c r="G76" s="753"/>
      <c r="H76" s="158">
        <f>Forecast!$D$34</f>
        <v>544136.85</v>
      </c>
      <c r="I76" s="158">
        <f>Forecast!$E$34</f>
        <v>326482.11</v>
      </c>
      <c r="J76" s="158">
        <f>Forecast!$F$34</f>
        <v>108827.37000000002</v>
      </c>
      <c r="K76" s="158">
        <f>Forecast!$G$34</f>
        <v>6.4016100321665492E-3</v>
      </c>
      <c r="L76" s="158">
        <v>0</v>
      </c>
      <c r="M76" s="1042">
        <f>M75*(1+$C$127)^1</f>
        <v>626362.93747646699</v>
      </c>
      <c r="V76" s="11"/>
    </row>
    <row r="77" spans="1:22">
      <c r="B77" s="522">
        <v>2009</v>
      </c>
      <c r="C77" s="1041"/>
      <c r="D77" s="1041"/>
      <c r="E77" s="1041"/>
      <c r="F77" s="1041"/>
      <c r="G77" s="753"/>
      <c r="H77" s="158">
        <f>Forecast!$D$34</f>
        <v>544136.85</v>
      </c>
      <c r="I77" s="158">
        <f>Forecast!$E$34</f>
        <v>326482.11</v>
      </c>
      <c r="J77" s="158">
        <f>Forecast!$F$34</f>
        <v>108827.37000000002</v>
      </c>
      <c r="K77" s="158">
        <f>Forecast!$G$34</f>
        <v>6.4016100321665492E-3</v>
      </c>
      <c r="L77" s="158">
        <v>0</v>
      </c>
      <c r="M77" s="1042">
        <f>M76*(1+$C$127)^1</f>
        <v>621829.99254235835</v>
      </c>
      <c r="V77" s="11"/>
    </row>
    <row r="78" spans="1:22">
      <c r="B78" s="522">
        <v>2010</v>
      </c>
      <c r="C78" s="1041"/>
      <c r="D78" s="1041"/>
      <c r="E78" s="1041"/>
      <c r="F78" s="1041"/>
      <c r="G78" s="753"/>
      <c r="H78" s="158">
        <f>Forecast!$D$34</f>
        <v>544136.85</v>
      </c>
      <c r="I78" s="158">
        <f>Forecast!$E$34</f>
        <v>326482.11</v>
      </c>
      <c r="J78" s="158">
        <f>Forecast!$F$34</f>
        <v>108827.37000000002</v>
      </c>
      <c r="K78" s="158">
        <f>Forecast!$G$34</f>
        <v>6.4016100321665492E-3</v>
      </c>
      <c r="L78" s="158">
        <v>0</v>
      </c>
      <c r="M78" s="1042">
        <f>D53</f>
        <v>617329.85221488657</v>
      </c>
      <c r="V78" s="11"/>
    </row>
    <row r="79" spans="1:22">
      <c r="B79" s="522">
        <v>2011</v>
      </c>
      <c r="C79" s="1041"/>
      <c r="D79" s="1041"/>
      <c r="E79" s="1041"/>
      <c r="F79" s="1041"/>
      <c r="G79" s="753"/>
      <c r="H79" s="158">
        <f>Forecast!$D$34</f>
        <v>544136.85</v>
      </c>
      <c r="I79" s="158">
        <f>Forecast!$E$34</f>
        <v>326482.11</v>
      </c>
      <c r="J79" s="158">
        <f>Forecast!$F$34</f>
        <v>108827.37000000002</v>
      </c>
      <c r="K79" s="158">
        <f>Forecast!$G$34</f>
        <v>6.4016100321665492E-3</v>
      </c>
      <c r="L79" s="158">
        <v>0</v>
      </c>
      <c r="M79" s="1042">
        <f>'GHG Inventories'!C80</f>
        <v>651403.96128689277</v>
      </c>
      <c r="V79" s="11"/>
    </row>
    <row r="80" spans="1:22">
      <c r="B80" s="522">
        <v>2012</v>
      </c>
      <c r="C80" s="1041"/>
      <c r="D80" s="1041"/>
      <c r="E80" s="1041"/>
      <c r="F80" s="1041"/>
      <c r="G80" s="753"/>
      <c r="H80" s="158">
        <f>Forecast!$D$34</f>
        <v>544136.85</v>
      </c>
      <c r="I80" s="158">
        <f>Forecast!$E$34</f>
        <v>326482.11</v>
      </c>
      <c r="J80" s="158">
        <f>Forecast!$F$34</f>
        <v>108827.37000000002</v>
      </c>
      <c r="K80" s="158">
        <f>Forecast!$G$34</f>
        <v>6.4016100321665492E-3</v>
      </c>
      <c r="L80" s="158">
        <v>0</v>
      </c>
      <c r="M80" s="1042">
        <f>'GHG Inventories'!C81</f>
        <v>633575.88822386845</v>
      </c>
      <c r="V80" s="11"/>
    </row>
    <row r="81" spans="2:22">
      <c r="B81" s="522">
        <v>2013</v>
      </c>
      <c r="C81" s="1041"/>
      <c r="D81" s="1041"/>
      <c r="E81" s="1041"/>
      <c r="F81" s="1041"/>
      <c r="G81" s="753"/>
      <c r="H81" s="158">
        <f>Forecast!$D$34</f>
        <v>544136.85</v>
      </c>
      <c r="I81" s="158">
        <f>Forecast!$E$34</f>
        <v>326482.11</v>
      </c>
      <c r="J81" s="158">
        <f>Forecast!$F$34</f>
        <v>108827.37000000002</v>
      </c>
      <c r="K81" s="158">
        <f>Forecast!$G$34</f>
        <v>6.4016100321665492E-3</v>
      </c>
      <c r="L81" s="158">
        <v>0</v>
      </c>
      <c r="M81" s="1042">
        <f>'GHG Inventories'!C82</f>
        <v>609917.00519148994</v>
      </c>
      <c r="V81" s="11"/>
    </row>
    <row r="82" spans="2:22">
      <c r="B82" s="522">
        <v>2014</v>
      </c>
      <c r="C82" s="1041"/>
      <c r="D82" s="1041"/>
      <c r="E82" s="1041"/>
      <c r="F82" s="1041"/>
      <c r="G82" s="753"/>
      <c r="H82" s="158">
        <f>Forecast!$D$34</f>
        <v>544136.85</v>
      </c>
      <c r="I82" s="158">
        <f>Forecast!$E$34</f>
        <v>326482.11</v>
      </c>
      <c r="J82" s="158">
        <f>Forecast!$F$34</f>
        <v>108827.37000000002</v>
      </c>
      <c r="K82" s="158">
        <f>Forecast!$G$34</f>
        <v>6.4016100321665492E-3</v>
      </c>
      <c r="L82" s="158">
        <v>0</v>
      </c>
      <c r="M82" s="1042">
        <f>'GHG Inventories'!C83</f>
        <v>592966.77306912187</v>
      </c>
      <c r="V82" s="11"/>
    </row>
    <row r="83" spans="2:22">
      <c r="B83" s="522">
        <v>2015</v>
      </c>
      <c r="C83" s="1041"/>
      <c r="D83" s="1041"/>
      <c r="E83" s="1041"/>
      <c r="F83" s="1041"/>
      <c r="G83" s="753"/>
      <c r="H83" s="158">
        <f>Forecast!$D$34</f>
        <v>544136.85</v>
      </c>
      <c r="I83" s="158">
        <f>Forecast!$E$34</f>
        <v>326482.11</v>
      </c>
      <c r="J83" s="158">
        <f>Forecast!$F$34</f>
        <v>108827.37000000002</v>
      </c>
      <c r="K83" s="158">
        <f>Forecast!$G$34</f>
        <v>6.4016100321665492E-3</v>
      </c>
      <c r="L83" s="158">
        <v>0</v>
      </c>
      <c r="M83" s="1042">
        <f>'GHG Inventories'!C84</f>
        <v>590000</v>
      </c>
      <c r="V83" s="11"/>
    </row>
    <row r="84" spans="2:22">
      <c r="B84" s="522">
        <v>2016</v>
      </c>
      <c r="C84" s="1041"/>
      <c r="D84" s="1041"/>
      <c r="E84" s="1041"/>
      <c r="F84" s="1041"/>
      <c r="G84" s="753"/>
      <c r="H84" s="158">
        <f>Forecast!$D$34</f>
        <v>544136.85</v>
      </c>
      <c r="I84" s="158">
        <f>Forecast!$E$34</f>
        <v>326482.11</v>
      </c>
      <c r="J84" s="158">
        <f>Forecast!$F$34</f>
        <v>108827.37000000002</v>
      </c>
      <c r="K84" s="158">
        <f>Forecast!$G$34</f>
        <v>6.4016100321665492E-3</v>
      </c>
      <c r="L84" s="158">
        <v>0</v>
      </c>
      <c r="M84" s="1042">
        <f>'GHG Inventories'!C85</f>
        <v>588000</v>
      </c>
      <c r="V84" s="11"/>
    </row>
    <row r="85" spans="2:22">
      <c r="B85" s="522">
        <v>2017</v>
      </c>
      <c r="C85" s="1043">
        <f>M85</f>
        <v>591175.85452811304</v>
      </c>
      <c r="D85" s="1044">
        <f>M85</f>
        <v>591175.85452811304</v>
      </c>
      <c r="E85" s="1045">
        <f>M85</f>
        <v>591175.85452811304</v>
      </c>
      <c r="F85" s="1046">
        <f>M85</f>
        <v>591175.85452811304</v>
      </c>
      <c r="G85" s="754">
        <f>M85</f>
        <v>591175.85452811304</v>
      </c>
      <c r="H85" s="158">
        <f>Forecast!$D$34</f>
        <v>544136.85</v>
      </c>
      <c r="I85" s="158">
        <f>Forecast!$E$34</f>
        <v>326482.11</v>
      </c>
      <c r="J85" s="158">
        <f>Forecast!$F$34</f>
        <v>108827.37000000002</v>
      </c>
      <c r="K85" s="158">
        <f>Forecast!$G$34</f>
        <v>6.4016100321665492E-3</v>
      </c>
      <c r="L85" s="158">
        <v>0</v>
      </c>
      <c r="M85" s="1042">
        <f>'GHG Inventories'!D75</f>
        <v>591175.85452811304</v>
      </c>
      <c r="V85" s="11"/>
    </row>
    <row r="86" spans="2:22">
      <c r="B86" s="522">
        <v>2018</v>
      </c>
      <c r="C86" s="1043">
        <f>C85*(1+$D$122)^1</f>
        <v>593859.39482943667</v>
      </c>
      <c r="D86" s="1044">
        <f>D85*(1+$D$123)^1</f>
        <v>593721.95936610759</v>
      </c>
      <c r="E86" s="1045">
        <f>E85*(1+$D$124)^1</f>
        <v>574769.26091707894</v>
      </c>
      <c r="F86" s="1046">
        <f>F85*(1+$D$125)^1</f>
        <v>575060.89764215727</v>
      </c>
      <c r="G86" s="754">
        <f>G85*(1+$D$126)^1</f>
        <v>566648.80800175469</v>
      </c>
      <c r="H86" s="158">
        <f>Forecast!$D$34</f>
        <v>544136.85</v>
      </c>
      <c r="I86" s="158">
        <f>Forecast!$E$34</f>
        <v>326482.11</v>
      </c>
      <c r="J86" s="158">
        <f>Forecast!$F$34</f>
        <v>108827.37000000002</v>
      </c>
      <c r="K86" s="158">
        <f>Forecast!$G$34</f>
        <v>6.4016100321665492E-3</v>
      </c>
      <c r="L86" s="158">
        <v>0</v>
      </c>
      <c r="M86" s="1047"/>
      <c r="V86" s="11"/>
    </row>
    <row r="87" spans="2:22">
      <c r="B87" s="522">
        <v>2019</v>
      </c>
      <c r="C87" s="1043">
        <f>C86*(1+$D$122)^1</f>
        <v>596555.11659672111</v>
      </c>
      <c r="D87" s="1044">
        <f>D86*(1+$D$123)^1</f>
        <v>596279.02989188593</v>
      </c>
      <c r="E87" s="1045">
        <f>E86*(1+$D$124)^1</f>
        <v>558817.99089860334</v>
      </c>
      <c r="F87" s="1046">
        <f>F86*(1+$D$125)^1</f>
        <v>559385.22093560523</v>
      </c>
      <c r="G87" s="754">
        <f>G86*(1+$D$126)^1</f>
        <v>543139.35379872681</v>
      </c>
      <c r="H87" s="158">
        <f>Forecast!$D$34</f>
        <v>544136.85</v>
      </c>
      <c r="I87" s="158">
        <f>Forecast!$E$34</f>
        <v>326482.11</v>
      </c>
      <c r="J87" s="158">
        <f>Forecast!$F$34</f>
        <v>108827.37000000002</v>
      </c>
      <c r="K87" s="158">
        <f>Forecast!$G$34</f>
        <v>6.4016100321665492E-3</v>
      </c>
      <c r="L87" s="158">
        <v>0</v>
      </c>
      <c r="M87" s="1047"/>
      <c r="V87" s="11"/>
    </row>
    <row r="88" spans="2:22">
      <c r="B88" s="522">
        <v>2020</v>
      </c>
      <c r="C88" s="1043">
        <f>Forecast!J150</f>
        <v>599263.07512561919</v>
      </c>
      <c r="D88" s="1044">
        <f>Forecast!P150</f>
        <v>598847.11333300383</v>
      </c>
      <c r="E88" s="1045">
        <f>Forecast!R150</f>
        <v>543309.40811569139</v>
      </c>
      <c r="F88" s="1046">
        <f>Forecast!D34</f>
        <v>544136.85</v>
      </c>
      <c r="G88" s="754">
        <f>Forecast!D39</f>
        <v>520605.27345887409</v>
      </c>
      <c r="H88" s="158">
        <f>Forecast!$D$34</f>
        <v>544136.85</v>
      </c>
      <c r="I88" s="158">
        <f>Forecast!$E$34</f>
        <v>326482.11</v>
      </c>
      <c r="J88" s="158">
        <f>Forecast!$F$34</f>
        <v>108827.37000000002</v>
      </c>
      <c r="K88" s="158">
        <f>Forecast!$G$34</f>
        <v>6.4016100321665492E-3</v>
      </c>
      <c r="L88" s="158">
        <v>0</v>
      </c>
      <c r="M88" s="1047"/>
      <c r="V88" s="11"/>
    </row>
    <row r="89" spans="2:22">
      <c r="B89" s="522">
        <v>2021</v>
      </c>
      <c r="C89" s="1043">
        <f t="shared" ref="C89:C97" si="0">C88*(1+$E$122)^1</f>
        <v>601325.71721995983</v>
      </c>
      <c r="D89" s="1044">
        <f t="shared" ref="D89:D97" si="1">D88*(1+$E$123)^1</f>
        <v>584115.39076010813</v>
      </c>
      <c r="E89" s="1045">
        <f t="shared" ref="E89:E97" si="2">E88*(1+$E$124)^1</f>
        <v>528455.02778170269</v>
      </c>
      <c r="F89" s="1046">
        <f t="shared" ref="F89:F97" si="3">F88*(1+$E$125)^1</f>
        <v>517038.95267871674</v>
      </c>
      <c r="G89" s="754">
        <f t="shared" ref="G89:G97" si="4">G88*(1+$E$126)^1</f>
        <v>499362.06057654478</v>
      </c>
      <c r="H89" s="158">
        <f>Forecast!$D$34</f>
        <v>544136.85</v>
      </c>
      <c r="I89" s="158">
        <f>Forecast!$E$34</f>
        <v>326482.11</v>
      </c>
      <c r="J89" s="158">
        <f>Forecast!$F$34</f>
        <v>108827.37000000002</v>
      </c>
      <c r="K89" s="158">
        <f>Forecast!$G$34</f>
        <v>6.4016100321665492E-3</v>
      </c>
      <c r="L89" s="158">
        <v>0</v>
      </c>
      <c r="M89" s="1047"/>
      <c r="V89" s="11"/>
    </row>
    <row r="90" spans="2:22">
      <c r="B90" s="522">
        <v>2022</v>
      </c>
      <c r="C90" s="1043">
        <f t="shared" si="0"/>
        <v>603395.4588546959</v>
      </c>
      <c r="D90" s="1044">
        <f t="shared" si="1"/>
        <v>569746.07061870594</v>
      </c>
      <c r="E90" s="1045">
        <f t="shared" si="2"/>
        <v>514006.77443872648</v>
      </c>
      <c r="F90" s="1046">
        <f t="shared" si="3"/>
        <v>491290.52477718482</v>
      </c>
      <c r="G90" s="754">
        <f t="shared" si="4"/>
        <v>478985.67351517902</v>
      </c>
      <c r="H90" s="158">
        <f>Forecast!$D$34</f>
        <v>544136.85</v>
      </c>
      <c r="I90" s="158">
        <f>Forecast!$E$34</f>
        <v>326482.11</v>
      </c>
      <c r="J90" s="158">
        <f>Forecast!$F$34</f>
        <v>108827.37000000002</v>
      </c>
      <c r="K90" s="158">
        <f>Forecast!$G$34</f>
        <v>6.4016100321665492E-3</v>
      </c>
      <c r="L90" s="158">
        <v>0</v>
      </c>
      <c r="M90" s="1047"/>
      <c r="V90" s="11"/>
    </row>
    <row r="91" spans="2:22">
      <c r="B91" s="522">
        <v>2023</v>
      </c>
      <c r="C91" s="1043">
        <f t="shared" si="0"/>
        <v>605472.32446619181</v>
      </c>
      <c r="D91" s="1044">
        <f t="shared" si="1"/>
        <v>555730.2377583998</v>
      </c>
      <c r="E91" s="1045">
        <f t="shared" si="2"/>
        <v>499953.54434974235</v>
      </c>
      <c r="F91" s="1046">
        <f t="shared" si="3"/>
        <v>466824.36301046843</v>
      </c>
      <c r="G91" s="754">
        <f t="shared" si="4"/>
        <v>459440.74158918182</v>
      </c>
      <c r="H91" s="158">
        <f>Forecast!$D$34</f>
        <v>544136.85</v>
      </c>
      <c r="I91" s="158">
        <f>Forecast!$E$34</f>
        <v>326482.11</v>
      </c>
      <c r="J91" s="158">
        <f>Forecast!$F$34</f>
        <v>108827.37000000002</v>
      </c>
      <c r="K91" s="158">
        <f>Forecast!$G$34</f>
        <v>6.4016100321665492E-3</v>
      </c>
      <c r="L91" s="158">
        <v>0</v>
      </c>
      <c r="M91" s="1047"/>
      <c r="V91" s="11"/>
    </row>
    <row r="92" spans="2:22">
      <c r="B92" s="522">
        <v>2024</v>
      </c>
      <c r="C92" s="1043">
        <f t="shared" si="0"/>
        <v>607556.33857492101</v>
      </c>
      <c r="D92" s="1044">
        <f t="shared" si="1"/>
        <v>542059.19634273613</v>
      </c>
      <c r="E92" s="1045">
        <f t="shared" si="2"/>
        <v>486284.53736005415</v>
      </c>
      <c r="F92" s="1046">
        <f t="shared" si="3"/>
        <v>443576.61080267158</v>
      </c>
      <c r="G92" s="754">
        <f t="shared" si="4"/>
        <v>440693.33740798838</v>
      </c>
      <c r="H92" s="158">
        <f>Forecast!$D$34</f>
        <v>544136.85</v>
      </c>
      <c r="I92" s="158">
        <f>Forecast!$E$34</f>
        <v>326482.11</v>
      </c>
      <c r="J92" s="158">
        <f>Forecast!$F$34</f>
        <v>108827.37000000002</v>
      </c>
      <c r="K92" s="158">
        <f>Forecast!$G$34</f>
        <v>6.4016100321665492E-3</v>
      </c>
      <c r="L92" s="158">
        <v>0</v>
      </c>
      <c r="M92" s="1047"/>
      <c r="V92" s="11"/>
    </row>
    <row r="93" spans="2:22">
      <c r="B93" s="522">
        <v>2025</v>
      </c>
      <c r="C93" s="1043">
        <f t="shared" si="0"/>
        <v>609647.5257857556</v>
      </c>
      <c r="D93" s="1044">
        <f t="shared" si="1"/>
        <v>528724.46445405215</v>
      </c>
      <c r="E93" s="1045">
        <f t="shared" si="2"/>
        <v>472989.2485971807</v>
      </c>
      <c r="F93" s="1046">
        <f t="shared" si="3"/>
        <v>421486.59162155271</v>
      </c>
      <c r="G93" s="754">
        <f t="shared" si="4"/>
        <v>422710.91798264685</v>
      </c>
      <c r="H93" s="158">
        <f>Forecast!$D$34</f>
        <v>544136.85</v>
      </c>
      <c r="I93" s="158">
        <f>Forecast!$E$34</f>
        <v>326482.11</v>
      </c>
      <c r="J93" s="158">
        <f>Forecast!$F$34</f>
        <v>108827.37000000002</v>
      </c>
      <c r="K93" s="158">
        <f>Forecast!$G$34</f>
        <v>6.4016100321665492E-3</v>
      </c>
      <c r="L93" s="158">
        <v>0</v>
      </c>
      <c r="M93" s="1047"/>
      <c r="V93" s="11"/>
    </row>
    <row r="94" spans="2:22">
      <c r="B94" s="522">
        <v>2026</v>
      </c>
      <c r="C94" s="1043">
        <f t="shared" si="0"/>
        <v>611745.91078825679</v>
      </c>
      <c r="D94" s="1044">
        <f t="shared" si="1"/>
        <v>515717.76883104315</v>
      </c>
      <c r="E94" s="1045">
        <f t="shared" si="2"/>
        <v>460057.46039767662</v>
      </c>
      <c r="F94" s="1046">
        <f t="shared" si="3"/>
        <v>400496.65061303903</v>
      </c>
      <c r="G94" s="754">
        <f t="shared" si="4"/>
        <v>405462.26823553746</v>
      </c>
      <c r="H94" s="158">
        <f>Forecast!$D$34</f>
        <v>544136.85</v>
      </c>
      <c r="I94" s="158">
        <f>Forecast!$E$34</f>
        <v>326482.11</v>
      </c>
      <c r="J94" s="158">
        <f>Forecast!$F$34</f>
        <v>108827.37000000002</v>
      </c>
      <c r="K94" s="158">
        <f>Forecast!$G$34</f>
        <v>6.4016100321665492E-3</v>
      </c>
      <c r="L94" s="158">
        <v>0</v>
      </c>
      <c r="M94" s="1047"/>
      <c r="V94" s="11"/>
    </row>
    <row r="95" spans="2:22">
      <c r="B95" s="522">
        <v>2027</v>
      </c>
      <c r="C95" s="1043">
        <f t="shared" si="0"/>
        <v>613851.51835696632</v>
      </c>
      <c r="D95" s="1044">
        <f t="shared" si="1"/>
        <v>503031.03973578749</v>
      </c>
      <c r="E95" s="1045">
        <f t="shared" si="2"/>
        <v>447479.23445467796</v>
      </c>
      <c r="F95" s="1046">
        <f t="shared" si="3"/>
        <v>380552.00412230793</v>
      </c>
      <c r="G95" s="754">
        <f t="shared" si="4"/>
        <v>388917.44681516808</v>
      </c>
      <c r="H95" s="158">
        <f>Forecast!$D$34</f>
        <v>544136.85</v>
      </c>
      <c r="I95" s="158">
        <f>Forecast!$E$34</f>
        <v>326482.11</v>
      </c>
      <c r="J95" s="158">
        <f>Forecast!$F$34</f>
        <v>108827.37000000002</v>
      </c>
      <c r="K95" s="158">
        <f>Forecast!$G$34</f>
        <v>6.4016100321665492E-3</v>
      </c>
      <c r="L95" s="158">
        <v>0</v>
      </c>
      <c r="M95" s="1047"/>
      <c r="V95" s="11"/>
    </row>
    <row r="96" spans="2:22">
      <c r="B96" s="522">
        <v>2028</v>
      </c>
      <c r="C96" s="1043">
        <f t="shared" si="0"/>
        <v>615964.37335169897</v>
      </c>
      <c r="D96" s="1044">
        <f t="shared" si="1"/>
        <v>490656.40594704269</v>
      </c>
      <c r="E96" s="1045">
        <f t="shared" si="2"/>
        <v>435244.90418013855</v>
      </c>
      <c r="F96" s="1046">
        <f t="shared" si="3"/>
        <v>361600.59670868609</v>
      </c>
      <c r="G96" s="754">
        <f t="shared" si="4"/>
        <v>373047.73412198835</v>
      </c>
      <c r="H96" s="158">
        <f>Forecast!$D$34</f>
        <v>544136.85</v>
      </c>
      <c r="I96" s="158">
        <f>Forecast!$E$34</f>
        <v>326482.11</v>
      </c>
      <c r="J96" s="158">
        <f>Forecast!$F$34</f>
        <v>108827.37000000002</v>
      </c>
      <c r="K96" s="158">
        <f>Forecast!$G$34</f>
        <v>6.4016100321665492E-3</v>
      </c>
      <c r="L96" s="158">
        <v>0</v>
      </c>
      <c r="M96" s="1047"/>
      <c r="V96" s="11"/>
    </row>
    <row r="97" spans="2:22">
      <c r="B97" s="522">
        <v>2029</v>
      </c>
      <c r="C97" s="1048">
        <f t="shared" si="0"/>
        <v>618084.5007178362</v>
      </c>
      <c r="D97" s="1049">
        <f t="shared" si="1"/>
        <v>478586.18987670739</v>
      </c>
      <c r="E97" s="1050">
        <f t="shared" si="2"/>
        <v>423345.06727588689</v>
      </c>
      <c r="F97" s="1051">
        <f t="shared" si="3"/>
        <v>343592.96528117533</v>
      </c>
      <c r="G97" s="539">
        <f t="shared" si="4"/>
        <v>357825.58245500183</v>
      </c>
      <c r="H97" s="540">
        <f>Forecast!$D$34</f>
        <v>544136.85</v>
      </c>
      <c r="I97" s="540">
        <f>Forecast!$E$34</f>
        <v>326482.11</v>
      </c>
      <c r="J97" s="158">
        <f>Forecast!$F$34</f>
        <v>108827.37000000002</v>
      </c>
      <c r="K97" s="158">
        <f>Forecast!$G$34</f>
        <v>6.4016100321665492E-3</v>
      </c>
      <c r="L97" s="158">
        <v>0</v>
      </c>
      <c r="M97" s="541"/>
      <c r="V97" s="11"/>
    </row>
    <row r="98" spans="2:22">
      <c r="B98" s="538">
        <v>2030</v>
      </c>
      <c r="C98" s="1043">
        <f>Forecast!U150</f>
        <v>620211.92548662017</v>
      </c>
      <c r="D98" s="1044">
        <f>Forecast!AA150</f>
        <v>466812.90280641941</v>
      </c>
      <c r="E98" s="1045">
        <f>Forecast!AC150</f>
        <v>411770.57850779459</v>
      </c>
      <c r="F98" s="1046">
        <f>Forecast!E34</f>
        <v>326482.11</v>
      </c>
      <c r="G98" s="1052">
        <f>E39</f>
        <v>343224.56819263758</v>
      </c>
      <c r="H98" s="1053">
        <f>Forecast!$D$34</f>
        <v>544136.85</v>
      </c>
      <c r="I98" s="1053">
        <f>Forecast!$E$34</f>
        <v>326482.11</v>
      </c>
      <c r="J98" s="158">
        <f>Forecast!$F$34</f>
        <v>108827.37000000002</v>
      </c>
      <c r="K98" s="158">
        <f>Forecast!$G$34</f>
        <v>6.4016100321665492E-3</v>
      </c>
      <c r="L98" s="158">
        <v>0</v>
      </c>
      <c r="M98" s="1047"/>
      <c r="V98" s="11"/>
    </row>
    <row r="99" spans="2:22">
      <c r="B99" s="538">
        <v>2031</v>
      </c>
      <c r="C99" s="1043">
        <f t="shared" ref="C99:C107" si="5">C98*(1+$F$122)^1</f>
        <v>622502.06068543857</v>
      </c>
      <c r="D99" s="1044">
        <f t="shared" ref="D99:D107" si="6">D98*(1+$G$123)^1</f>
        <v>460456.80702745554</v>
      </c>
      <c r="E99" s="1045">
        <f t="shared" ref="E99:E107" si="7">E98*(1+$F$124)^1</f>
        <v>407371.9062483962</v>
      </c>
      <c r="F99" s="1046">
        <f t="shared" ref="F99:F107" si="8">F98*(1+$F$125)^1</f>
        <v>292514.40844116232</v>
      </c>
      <c r="G99" s="1052">
        <f t="shared" ref="G99:G107" si="9">G98*(1+$G$126)^1</f>
        <v>313739.30436194758</v>
      </c>
      <c r="H99" s="1053">
        <f>Forecast!$D$34</f>
        <v>544136.85</v>
      </c>
      <c r="I99" s="1053">
        <f>Forecast!$E$34</f>
        <v>326482.11</v>
      </c>
      <c r="J99" s="158">
        <f>Forecast!$F$34</f>
        <v>108827.37000000002</v>
      </c>
      <c r="K99" s="158">
        <f>Forecast!$G$34</f>
        <v>6.4016100321665492E-3</v>
      </c>
      <c r="L99" s="158">
        <v>0</v>
      </c>
      <c r="M99" s="1047"/>
      <c r="V99" s="58"/>
    </row>
    <row r="100" spans="2:22">
      <c r="B100" s="538">
        <v>2032</v>
      </c>
      <c r="C100" s="1043">
        <f t="shared" si="5"/>
        <v>624800.65221831528</v>
      </c>
      <c r="D100" s="1044">
        <f t="shared" si="6"/>
        <v>454187.25545776368</v>
      </c>
      <c r="E100" s="1045">
        <f t="shared" si="7"/>
        <v>403020.22209027427</v>
      </c>
      <c r="F100" s="1046">
        <f t="shared" si="8"/>
        <v>262080.75886817547</v>
      </c>
      <c r="G100" s="1052">
        <f t="shared" si="9"/>
        <v>286787.01999640308</v>
      </c>
      <c r="H100" s="1053">
        <f>Forecast!$D$34</f>
        <v>544136.85</v>
      </c>
      <c r="I100" s="1053">
        <f>Forecast!$E$34</f>
        <v>326482.11</v>
      </c>
      <c r="J100" s="158">
        <f>Forecast!$F$34</f>
        <v>108827.37000000002</v>
      </c>
      <c r="K100" s="158">
        <f>Forecast!$G$34</f>
        <v>6.4016100321665492E-3</v>
      </c>
      <c r="L100" s="158">
        <v>0</v>
      </c>
      <c r="M100" s="1047"/>
      <c r="V100" s="58"/>
    </row>
    <row r="101" spans="2:22">
      <c r="B101" s="538">
        <v>2033</v>
      </c>
      <c r="C101" s="1043">
        <f t="shared" si="5"/>
        <v>627107.73131030018</v>
      </c>
      <c r="D101" s="1044">
        <f t="shared" si="6"/>
        <v>448003.06971671229</v>
      </c>
      <c r="E101" s="1045">
        <f t="shared" si="7"/>
        <v>398715.02409067628</v>
      </c>
      <c r="F101" s="1046">
        <f t="shared" si="8"/>
        <v>234813.4730694287</v>
      </c>
      <c r="G101" s="1052">
        <f t="shared" si="9"/>
        <v>262150.11538220505</v>
      </c>
      <c r="H101" s="1053">
        <f>Forecast!$D$34</f>
        <v>544136.85</v>
      </c>
      <c r="I101" s="1053">
        <f>Forecast!$E$34</f>
        <v>326482.11</v>
      </c>
      <c r="J101" s="158">
        <f>Forecast!$F$34</f>
        <v>108827.37000000002</v>
      </c>
      <c r="K101" s="158">
        <f>Forecast!$G$34</f>
        <v>6.4016100321665492E-3</v>
      </c>
      <c r="L101" s="158">
        <v>0</v>
      </c>
      <c r="M101" s="1047"/>
      <c r="V101" s="58"/>
    </row>
    <row r="102" spans="2:22">
      <c r="B102" s="538">
        <v>2034</v>
      </c>
      <c r="C102" s="1043">
        <f t="shared" si="5"/>
        <v>629423.32930174167</v>
      </c>
      <c r="D102" s="1044">
        <f t="shared" si="6"/>
        <v>441903.0874684279</v>
      </c>
      <c r="E102" s="1045">
        <f t="shared" si="7"/>
        <v>394455.81566877145</v>
      </c>
      <c r="F102" s="1046">
        <f t="shared" si="8"/>
        <v>210383.11768114564</v>
      </c>
      <c r="G102" s="1052">
        <f t="shared" si="9"/>
        <v>239629.68406228899</v>
      </c>
      <c r="H102" s="1053">
        <f>Forecast!$D$34</f>
        <v>544136.85</v>
      </c>
      <c r="I102" s="1053">
        <f>Forecast!$E$34</f>
        <v>326482.11</v>
      </c>
      <c r="J102" s="158">
        <f>Forecast!$F$34</f>
        <v>108827.37000000002</v>
      </c>
      <c r="K102" s="158">
        <f>Forecast!$G$34</f>
        <v>6.4016100321665492E-3</v>
      </c>
      <c r="L102" s="158">
        <v>0</v>
      </c>
      <c r="M102" s="1047"/>
      <c r="V102" s="58"/>
    </row>
    <row r="103" spans="2:22">
      <c r="B103" s="538">
        <v>2035</v>
      </c>
      <c r="C103" s="1043">
        <f t="shared" si="5"/>
        <v>631747.47764871269</v>
      </c>
      <c r="D103" s="1044">
        <f t="shared" si="6"/>
        <v>435886.16220333095</v>
      </c>
      <c r="E103" s="1045">
        <f t="shared" si="7"/>
        <v>390242.10554837307</v>
      </c>
      <c r="F103" s="1046">
        <f t="shared" si="8"/>
        <v>188494.53409409709</v>
      </c>
      <c r="G103" s="1052">
        <f t="shared" si="9"/>
        <v>219043.9069617526</v>
      </c>
      <c r="H103" s="1053">
        <f>Forecast!$D$34</f>
        <v>544136.85</v>
      </c>
      <c r="I103" s="1053">
        <f>Forecast!$E$34</f>
        <v>326482.11</v>
      </c>
      <c r="J103" s="158">
        <f>Forecast!$F$34</f>
        <v>108827.37000000002</v>
      </c>
      <c r="K103" s="158">
        <f>Forecast!$G$34</f>
        <v>6.4016100321665492E-3</v>
      </c>
      <c r="L103" s="158">
        <v>0</v>
      </c>
      <c r="M103" s="1047"/>
      <c r="V103" s="58"/>
    </row>
    <row r="104" spans="2:22">
      <c r="B104" s="538">
        <v>2036</v>
      </c>
      <c r="C104" s="1043">
        <f t="shared" si="5"/>
        <v>634080.20792343759</v>
      </c>
      <c r="D104" s="1044">
        <f t="shared" si="6"/>
        <v>429951.16302264581</v>
      </c>
      <c r="E104" s="1045">
        <f t="shared" si="7"/>
        <v>386073.4077012724</v>
      </c>
      <c r="F104" s="1046">
        <f t="shared" si="8"/>
        <v>168883.27245534927</v>
      </c>
      <c r="G104" s="1052">
        <f t="shared" si="9"/>
        <v>200226.58446854615</v>
      </c>
      <c r="H104" s="1053">
        <f>Forecast!$D$34</f>
        <v>544136.85</v>
      </c>
      <c r="I104" s="1053">
        <f>Forecast!$E$34</f>
        <v>326482.11</v>
      </c>
      <c r="J104" s="158">
        <f>Forecast!$F$34</f>
        <v>108827.37000000002</v>
      </c>
      <c r="K104" s="158">
        <f>Forecast!$G$34</f>
        <v>6.4016100321665492E-3</v>
      </c>
      <c r="L104" s="158">
        <v>0</v>
      </c>
      <c r="M104" s="1047"/>
      <c r="V104" s="58"/>
    </row>
    <row r="105" spans="2:22">
      <c r="B105" s="538">
        <v>2037</v>
      </c>
      <c r="C105" s="1043">
        <f t="shared" si="5"/>
        <v>636421.55181472155</v>
      </c>
      <c r="D105" s="1044">
        <f t="shared" si="6"/>
        <v>424096.97442584496</v>
      </c>
      <c r="E105" s="1045">
        <f t="shared" si="7"/>
        <v>381949.24129117798</v>
      </c>
      <c r="F105" s="1046">
        <f t="shared" si="8"/>
        <v>151312.39668196256</v>
      </c>
      <c r="G105" s="1052">
        <f t="shared" si="9"/>
        <v>183025.79461815435</v>
      </c>
      <c r="H105" s="1053">
        <f>Forecast!$D$34</f>
        <v>544136.85</v>
      </c>
      <c r="I105" s="1053">
        <f>Forecast!$E$34</f>
        <v>326482.11</v>
      </c>
      <c r="J105" s="158">
        <f>Forecast!$F$34</f>
        <v>108827.37000000002</v>
      </c>
      <c r="K105" s="158">
        <f>Forecast!$G$34</f>
        <v>6.4016100321665492E-3</v>
      </c>
      <c r="L105" s="158">
        <v>0</v>
      </c>
      <c r="M105" s="1047"/>
      <c r="V105" s="58"/>
    </row>
    <row r="106" spans="2:22">
      <c r="B106" s="538">
        <v>2038</v>
      </c>
      <c r="C106" s="1043">
        <f t="shared" si="5"/>
        <v>638771.54112838069</v>
      </c>
      <c r="D106" s="1044">
        <f t="shared" si="6"/>
        <v>418322.49610098748</v>
      </c>
      <c r="E106" s="1045">
        <f t="shared" si="7"/>
        <v>377869.1306182539</v>
      </c>
      <c r="F106" s="1046">
        <f t="shared" si="8"/>
        <v>135569.62188598566</v>
      </c>
      <c r="G106" s="1052">
        <f t="shared" si="9"/>
        <v>167302.6665491022</v>
      </c>
      <c r="H106" s="1053">
        <f>Forecast!$D$34</f>
        <v>544136.85</v>
      </c>
      <c r="I106" s="1053">
        <f>Forecast!$E$34</f>
        <v>326482.11</v>
      </c>
      <c r="J106" s="158">
        <f>Forecast!$F$34</f>
        <v>108827.37000000002</v>
      </c>
      <c r="K106" s="158">
        <f>Forecast!$G$34</f>
        <v>6.4016100321665492E-3</v>
      </c>
      <c r="L106" s="158">
        <v>0</v>
      </c>
      <c r="M106" s="1047"/>
      <c r="V106" s="58"/>
    </row>
    <row r="107" spans="2:22">
      <c r="B107" s="538">
        <v>2039</v>
      </c>
      <c r="C107" s="1043">
        <f t="shared" si="5"/>
        <v>641130.20778767439</v>
      </c>
      <c r="D107" s="1044">
        <f t="shared" si="6"/>
        <v>412626.64271791221</v>
      </c>
      <c r="E107" s="1045">
        <f t="shared" si="7"/>
        <v>373832.60506425041</v>
      </c>
      <c r="F107" s="1046">
        <f t="shared" si="8"/>
        <v>121464.74962616221</v>
      </c>
      <c r="G107" s="1052">
        <f t="shared" si="9"/>
        <v>152930.25932675682</v>
      </c>
      <c r="H107" s="1053">
        <f>Forecast!$D$34</f>
        <v>544136.85</v>
      </c>
      <c r="I107" s="1053">
        <f>Forecast!$E$34</f>
        <v>326482.11</v>
      </c>
      <c r="J107" s="158">
        <f>Forecast!$F$34</f>
        <v>108827.37000000002</v>
      </c>
      <c r="K107" s="158">
        <f>Forecast!$G$34</f>
        <v>6.4016100321665492E-3</v>
      </c>
      <c r="L107" s="158">
        <v>0</v>
      </c>
      <c r="M107" s="1047"/>
      <c r="V107" s="58"/>
    </row>
    <row r="108" spans="2:22">
      <c r="B108" s="538">
        <v>2040</v>
      </c>
      <c r="C108" s="1054">
        <f>AF150</f>
        <v>643497.58383373905</v>
      </c>
      <c r="D108" s="1055">
        <f>AL150</f>
        <v>389271.17814401304</v>
      </c>
      <c r="E108" s="1056">
        <f>AN150</f>
        <v>369839.1990382208</v>
      </c>
      <c r="F108" s="1057">
        <f>Forecast!F34</f>
        <v>108827.37000000002</v>
      </c>
      <c r="G108" s="1052">
        <f>F39</f>
        <v>184573.90853261916</v>
      </c>
      <c r="H108" s="1053">
        <f>Forecast!$D$34</f>
        <v>544136.85</v>
      </c>
      <c r="I108" s="1053">
        <f>Forecast!$E$34</f>
        <v>326482.11</v>
      </c>
      <c r="J108" s="158">
        <f>Forecast!$F$34</f>
        <v>108827.37000000002</v>
      </c>
      <c r="K108" s="158">
        <f>Forecast!$G$34</f>
        <v>6.4016100321665492E-3</v>
      </c>
      <c r="L108" s="158">
        <v>0</v>
      </c>
      <c r="M108" s="1047"/>
      <c r="V108" s="58"/>
    </row>
    <row r="109" spans="2:22">
      <c r="B109" s="538">
        <v>2041</v>
      </c>
      <c r="C109" s="1054">
        <f>C108*(1+$G$122)^1</f>
        <v>646089.59381669643</v>
      </c>
      <c r="D109" s="1044">
        <f>D108*(1+$G$123)^1</f>
        <v>383970.8857197921</v>
      </c>
      <c r="E109" s="1045">
        <f>E108*(1+$G$124)^1</f>
        <v>368558.85318805615</v>
      </c>
      <c r="F109" s="1046">
        <f>F108*(1+$G$125)^1</f>
        <v>6751.3481970245521</v>
      </c>
      <c r="G109" s="1052">
        <f>G108*(1+$G$126)^1</f>
        <v>168717.7872240436</v>
      </c>
      <c r="H109" s="1053">
        <f>Forecast!$D$34</f>
        <v>544136.85</v>
      </c>
      <c r="I109" s="1053">
        <f>Forecast!$E$34</f>
        <v>326482.11</v>
      </c>
      <c r="J109" s="158">
        <f>Forecast!$F$34</f>
        <v>108827.37000000002</v>
      </c>
      <c r="K109" s="158">
        <f>Forecast!$G$34</f>
        <v>6.4016100321665492E-3</v>
      </c>
      <c r="L109" s="158">
        <v>0</v>
      </c>
      <c r="M109" s="1047"/>
      <c r="V109" s="58"/>
    </row>
    <row r="110" spans="2:22">
      <c r="B110" s="538">
        <v>2042</v>
      </c>
      <c r="C110" s="1054">
        <f>C109*(1+$G$122)^1</f>
        <v>648692.04442277434</v>
      </c>
      <c r="D110" s="1044">
        <f>D109*(1+$G$123)^1</f>
        <v>378742.76175128936</v>
      </c>
      <c r="E110" s="1045">
        <f>E109*(1+$G$124)^1</f>
        <v>367282.9397655527</v>
      </c>
      <c r="F110" s="1046">
        <f>F109*(1+$G$125)^1</f>
        <v>418.83491696497549</v>
      </c>
      <c r="G110" s="1052">
        <f>G109*(1+$G$126)^1</f>
        <v>154223.81176235969</v>
      </c>
      <c r="H110" s="1053">
        <f>Forecast!$D$34</f>
        <v>544136.85</v>
      </c>
      <c r="I110" s="1053">
        <f>Forecast!$E$34</f>
        <v>326482.11</v>
      </c>
      <c r="J110" s="158">
        <f>Forecast!$F$34</f>
        <v>108827.37000000002</v>
      </c>
      <c r="K110" s="158">
        <f>Forecast!$G$34</f>
        <v>6.4016100321665492E-3</v>
      </c>
      <c r="L110" s="158">
        <v>0</v>
      </c>
      <c r="M110" s="1047"/>
      <c r="V110" s="58"/>
    </row>
    <row r="111" spans="2:22">
      <c r="B111" s="522">
        <v>2043</v>
      </c>
      <c r="C111" s="1054">
        <f>C110*(1+$G$122)^1</f>
        <v>651304.97770683048</v>
      </c>
      <c r="D111" s="1044">
        <f>D110*(1+$G$123)^1</f>
        <v>373585.82359724957</v>
      </c>
      <c r="E111" s="1045">
        <f>E110*(1+$G$124)^1</f>
        <v>366011.44342609489</v>
      </c>
      <c r="F111" s="1046">
        <f>F110*(1+$G$125)^1</f>
        <v>25.983356590372576</v>
      </c>
      <c r="G111" s="1052">
        <f>G110*(1+$G$126)^1</f>
        <v>140974.96479684868</v>
      </c>
      <c r="H111" s="1053">
        <f>Forecast!$D$34</f>
        <v>544136.85</v>
      </c>
      <c r="I111" s="1053">
        <f>Forecast!$E$34</f>
        <v>326482.11</v>
      </c>
      <c r="J111" s="158">
        <f>Forecast!$F$34</f>
        <v>108827.37000000002</v>
      </c>
      <c r="K111" s="1053">
        <f>Forecast!$G$34</f>
        <v>6.4016100321665492E-3</v>
      </c>
      <c r="L111" s="158">
        <v>0</v>
      </c>
      <c r="M111" s="1047"/>
      <c r="V111" s="58"/>
    </row>
    <row r="112" spans="2:22">
      <c r="B112" s="522">
        <v>2044</v>
      </c>
      <c r="C112" s="1054">
        <f>C111*(1+$G$122)^1</f>
        <v>653928.43589311966</v>
      </c>
      <c r="D112" s="1044">
        <f>D111*(1+$G$123)^1</f>
        <v>368499.10199600045</v>
      </c>
      <c r="E112" s="1045">
        <f>E111*(1+$G$124)^1</f>
        <v>364744.34887818852</v>
      </c>
      <c r="F112" s="1046">
        <f>F111*(1+$G$125)^1</f>
        <v>1.611935376817963</v>
      </c>
      <c r="G112" s="1052">
        <f>G111*(1+$G$126)^1</f>
        <v>128864.28154230861</v>
      </c>
      <c r="H112" s="1053">
        <f>Forecast!$D$34</f>
        <v>544136.85</v>
      </c>
      <c r="I112" s="1053">
        <f>Forecast!$E$34</f>
        <v>326482.11</v>
      </c>
      <c r="J112" s="158">
        <f>Forecast!$F$34</f>
        <v>108827.37000000002</v>
      </c>
      <c r="K112" s="1053">
        <f>Forecast!$G$34</f>
        <v>6.4016100321665492E-3</v>
      </c>
      <c r="L112" s="158">
        <v>0</v>
      </c>
      <c r="M112" s="1047"/>
      <c r="V112" s="58"/>
    </row>
    <row r="113" spans="2:22">
      <c r="B113" s="522">
        <v>2045</v>
      </c>
      <c r="C113" s="1054">
        <f>AQ150</f>
        <v>656562.4613759761</v>
      </c>
      <c r="D113" s="1055">
        <f>AW150</f>
        <v>363481.640883277</v>
      </c>
      <c r="E113" s="1056">
        <f>AY150</f>
        <v>363481.640883277</v>
      </c>
      <c r="F113" s="1057">
        <f>0.1</f>
        <v>0.1</v>
      </c>
      <c r="G113" s="1052">
        <f>G39</f>
        <v>89214.777508874016</v>
      </c>
      <c r="H113" s="1053">
        <f>Forecast!$D$34</f>
        <v>544136.85</v>
      </c>
      <c r="I113" s="1053">
        <f>Forecast!$E$34</f>
        <v>326482.11</v>
      </c>
      <c r="J113" s="158">
        <f>Forecast!$F$34</f>
        <v>108827.37000000002</v>
      </c>
      <c r="K113" s="1053">
        <f>Forecast!$G$34</f>
        <v>6.4016100321665492E-3</v>
      </c>
      <c r="L113" s="158">
        <v>0</v>
      </c>
      <c r="M113" s="1047"/>
      <c r="V113" s="58"/>
    </row>
    <row r="114" spans="2:22">
      <c r="B114" s="522">
        <v>2046</v>
      </c>
      <c r="C114" s="1054">
        <f>C113*(1+$H$122)^1</f>
        <v>659282.193498004</v>
      </c>
      <c r="D114" s="1044">
        <f>D113*(1+$H$123)^1</f>
        <v>356781.50760052062</v>
      </c>
      <c r="E114" s="1045">
        <f>E113*(1+$H$124)^1</f>
        <v>356781.50760052062</v>
      </c>
      <c r="F114" s="1057">
        <f t="shared" ref="F114:F118" si="10">0.1</f>
        <v>0.1</v>
      </c>
      <c r="G114" s="1058">
        <f>-(G113*(1+$H$126)^1)</f>
        <v>52418.11209343942</v>
      </c>
      <c r="H114" s="1053">
        <f>Forecast!$D$34</f>
        <v>544136.85</v>
      </c>
      <c r="I114" s="1053">
        <f>Forecast!$E$34</f>
        <v>326482.11</v>
      </c>
      <c r="J114" s="158">
        <f>Forecast!$F$34</f>
        <v>108827.37000000002</v>
      </c>
      <c r="K114" s="1053">
        <f>Forecast!$G$34</f>
        <v>6.4016100321665492E-3</v>
      </c>
      <c r="L114" s="158">
        <v>0</v>
      </c>
      <c r="M114" s="1047"/>
      <c r="V114" s="58"/>
    </row>
    <row r="115" spans="2:22">
      <c r="B115" s="522">
        <v>2047</v>
      </c>
      <c r="C115" s="1054">
        <f>C114*(1+$H$122)^1</f>
        <v>662013.19178776268</v>
      </c>
      <c r="D115" s="1044">
        <f>D114*(1+$H$123)^1</f>
        <v>350204.87927910872</v>
      </c>
      <c r="E115" s="1045">
        <f>E114*(1+$H$124)^1</f>
        <v>350204.87927910872</v>
      </c>
      <c r="F115" s="1057">
        <f t="shared" si="10"/>
        <v>0.1</v>
      </c>
      <c r="G115" s="1058">
        <f>-(G114*(1+$H$126)^1)</f>
        <v>30798.243880248156</v>
      </c>
      <c r="H115" s="1053">
        <f>Forecast!$D$34</f>
        <v>544136.85</v>
      </c>
      <c r="I115" s="1053">
        <f>Forecast!$E$34</f>
        <v>326482.11</v>
      </c>
      <c r="J115" s="158">
        <f>Forecast!$F$34</f>
        <v>108827.37000000002</v>
      </c>
      <c r="K115" s="1053">
        <f>Forecast!$G$34</f>
        <v>6.4016100321665492E-3</v>
      </c>
      <c r="L115" s="158">
        <v>0</v>
      </c>
      <c r="M115" s="1047"/>
      <c r="V115" s="58"/>
    </row>
    <row r="116" spans="2:22">
      <c r="B116" s="522">
        <v>2048</v>
      </c>
      <c r="C116" s="1054">
        <f>C115*(1+$H$122)^1</f>
        <v>664755.50291401567</v>
      </c>
      <c r="D116" s="1044">
        <f>D115*(1+$H$123)^1</f>
        <v>343749.47932619852</v>
      </c>
      <c r="E116" s="1045">
        <f>E115*(1+$H$124)^1</f>
        <v>343749.47932619852</v>
      </c>
      <c r="F116" s="1057">
        <f t="shared" si="10"/>
        <v>0.1</v>
      </c>
      <c r="G116" s="1058">
        <f>-(G115*(1+$H$126)^1)</f>
        <v>18095.497686303737</v>
      </c>
      <c r="H116" s="1053">
        <f>Forecast!$D$34</f>
        <v>544136.85</v>
      </c>
      <c r="I116" s="1053">
        <f>Forecast!$E$34</f>
        <v>326482.11</v>
      </c>
      <c r="J116" s="158">
        <f>Forecast!$F$34</f>
        <v>108827.37000000002</v>
      </c>
      <c r="K116" s="1053">
        <f>Forecast!$G$34</f>
        <v>6.4016100321665492E-3</v>
      </c>
      <c r="L116" s="158">
        <v>0</v>
      </c>
      <c r="M116" s="1047"/>
      <c r="V116" s="58"/>
    </row>
    <row r="117" spans="2:22">
      <c r="B117" s="522">
        <v>2049</v>
      </c>
      <c r="C117" s="1054">
        <f>C116*(1+$H$122)^1</f>
        <v>667509.17373884632</v>
      </c>
      <c r="D117" s="1044">
        <f>D116*(1+$H$123)^1</f>
        <v>337413.07311386045</v>
      </c>
      <c r="E117" s="1045">
        <f>E116*(1+$H$124)^1</f>
        <v>337413.07311386045</v>
      </c>
      <c r="F117" s="1057">
        <f t="shared" si="10"/>
        <v>0.1</v>
      </c>
      <c r="G117" s="1058">
        <f>-(G116*(1+$H$126)^1)</f>
        <v>10632.003493063628</v>
      </c>
      <c r="H117" s="1053">
        <f>Forecast!$D$34</f>
        <v>544136.85</v>
      </c>
      <c r="I117" s="1053">
        <f>Forecast!$E$34</f>
        <v>326482.11</v>
      </c>
      <c r="J117" s="158">
        <f>Forecast!$F$34</f>
        <v>108827.37000000002</v>
      </c>
      <c r="K117" s="1053">
        <f>Forecast!$G$34</f>
        <v>6.4016100321665492E-3</v>
      </c>
      <c r="L117" s="158">
        <v>0</v>
      </c>
      <c r="M117" s="1047"/>
      <c r="V117" s="58"/>
    </row>
    <row r="118" spans="2:22" ht="16" thickBot="1">
      <c r="B118" s="524">
        <v>2050</v>
      </c>
      <c r="C118" s="1059">
        <f>BB150</f>
        <v>670274.25131845882</v>
      </c>
      <c r="D118" s="1060">
        <f>BH150</f>
        <v>331193.46720553003</v>
      </c>
      <c r="E118" s="1061">
        <f>BJ150</f>
        <v>331193.46720553003</v>
      </c>
      <c r="F118" s="1062">
        <f t="shared" si="10"/>
        <v>0.1</v>
      </c>
      <c r="G118" s="1063">
        <f>H39</f>
        <v>-6246.830025685078</v>
      </c>
      <c r="H118" s="1064">
        <f>Forecast!$D$34</f>
        <v>544136.85</v>
      </c>
      <c r="I118" s="1064">
        <f>Forecast!$E$34</f>
        <v>326482.11</v>
      </c>
      <c r="J118" s="1031">
        <f>Forecast!$F$34</f>
        <v>108827.37000000002</v>
      </c>
      <c r="K118" s="1064">
        <f>Forecast!$G$34</f>
        <v>6.4016100321665492E-3</v>
      </c>
      <c r="L118" s="1031">
        <v>0</v>
      </c>
      <c r="M118" s="1065"/>
      <c r="V118" s="58"/>
    </row>
    <row r="119" spans="2:22" ht="51.75" customHeight="1" thickBot="1">
      <c r="B119" s="10"/>
      <c r="C119" s="12"/>
      <c r="D119" s="12"/>
      <c r="E119" s="12"/>
      <c r="F119" s="12"/>
      <c r="G119" s="58"/>
      <c r="H119" s="58"/>
      <c r="I119" s="58"/>
      <c r="J119" s="58"/>
      <c r="K119" s="58"/>
    </row>
    <row r="120" spans="2:22" ht="20.25" customHeight="1" thickBot="1">
      <c r="B120" s="1194" t="s">
        <v>452</v>
      </c>
      <c r="C120" s="1195"/>
      <c r="D120" s="1195"/>
      <c r="E120" s="1195"/>
      <c r="F120" s="1195"/>
      <c r="G120" s="1195"/>
      <c r="H120" s="1196"/>
      <c r="K120" s="58"/>
    </row>
    <row r="121" spans="2:22" ht="44.25" customHeight="1">
      <c r="B121" s="72" t="s">
        <v>250</v>
      </c>
      <c r="C121" s="630" t="s">
        <v>434</v>
      </c>
      <c r="D121" s="400" t="s">
        <v>435</v>
      </c>
      <c r="E121" s="590" t="s">
        <v>436</v>
      </c>
      <c r="F121" s="590" t="s">
        <v>646</v>
      </c>
      <c r="G121" s="400" t="s">
        <v>665</v>
      </c>
      <c r="H121" s="401" t="s">
        <v>647</v>
      </c>
      <c r="I121" s="58"/>
      <c r="L121" s="58"/>
      <c r="M121" s="58"/>
    </row>
    <row r="122" spans="2:22">
      <c r="B122" s="758" t="s">
        <v>383</v>
      </c>
      <c r="C122" s="759"/>
      <c r="D122" s="760">
        <f>(C88/C85)^(1/'GHG Inventories'!$C$11)-1</f>
        <v>4.5393266331312798E-3</v>
      </c>
      <c r="E122" s="756">
        <f>(C98/C88)^(1/10)-1</f>
        <v>3.4419642723828581E-3</v>
      </c>
      <c r="F122" s="756">
        <f>(C108/C98)^(1/10)-1</f>
        <v>3.69250429524004E-3</v>
      </c>
      <c r="G122" s="745">
        <f>($C$113/$C$108)^(1/5)-1</f>
        <v>4.0280026655501455E-3</v>
      </c>
      <c r="H122" s="952">
        <f>($C$118/$C$113)^(1/5)-1</f>
        <v>4.1423813909922114E-3</v>
      </c>
      <c r="I122" s="58"/>
      <c r="L122" s="58"/>
      <c r="M122" s="58"/>
    </row>
    <row r="123" spans="2:22">
      <c r="B123" s="758" t="s">
        <v>384</v>
      </c>
      <c r="C123" s="759"/>
      <c r="D123" s="760">
        <f>(D88/D85)^(1/'GHG Inventories'!$C$11)-1</f>
        <v>4.3068484926991335E-3</v>
      </c>
      <c r="E123" s="756">
        <f>(D98/D88)^(1/10)-1</f>
        <v>-2.4600139576365865E-2</v>
      </c>
      <c r="F123" s="756">
        <f>(D108/D98)^(1/10)-1</f>
        <v>-1.8001239079924236E-2</v>
      </c>
      <c r="G123" s="717">
        <f>($D$113/$D$108)^(1/5)-1</f>
        <v>-1.3615938507166025E-2</v>
      </c>
      <c r="H123" s="952">
        <f>($D$118/$D$113)^(1/5)-1</f>
        <v>-1.843320962917061E-2</v>
      </c>
      <c r="I123" s="58"/>
      <c r="L123" s="58"/>
      <c r="M123" s="58"/>
    </row>
    <row r="124" spans="2:22">
      <c r="B124" s="758" t="s">
        <v>385</v>
      </c>
      <c r="C124" s="759"/>
      <c r="D124" s="760">
        <f>(E88/E85)^(1/'GHG Inventories'!$C$11)-1</f>
        <v>-2.7752475824862954E-2</v>
      </c>
      <c r="E124" s="756">
        <f>(E98/E88)^(1/10)-1</f>
        <v>-2.7340554225826375E-2</v>
      </c>
      <c r="F124" s="756">
        <f>(E108/E98)^(1/10)-1</f>
        <v>-1.0682337420363175E-2</v>
      </c>
      <c r="G124" s="717">
        <f>($E$113/$E$108)^(1/5)-1</f>
        <v>-3.4618987211043617E-3</v>
      </c>
      <c r="H124" s="952">
        <f>($E$118/$E$113)^(1/5)-1</f>
        <v>-1.843320962917061E-2</v>
      </c>
      <c r="I124" s="58"/>
      <c r="L124" s="58"/>
      <c r="M124" s="58"/>
    </row>
    <row r="125" spans="2:22">
      <c r="B125" s="758" t="s">
        <v>103</v>
      </c>
      <c r="C125" s="759"/>
      <c r="D125" s="760">
        <f>(F88/F85)^(1/'GHG Inventories'!$C$11)-1</f>
        <v>-2.7259159457415527E-2</v>
      </c>
      <c r="E125" s="756">
        <f>(F98/F88)^(1/10)-1</f>
        <v>-4.9799783494323568E-2</v>
      </c>
      <c r="F125" s="756">
        <f>(F108/F98)^(1/10)-1</f>
        <v>-0.10404154015923772</v>
      </c>
      <c r="G125" s="745">
        <f>($F$113/$F$108)^(1/5)-1</f>
        <v>-0.93796277354653934</v>
      </c>
      <c r="H125" s="952">
        <f>($F$118/$F$113)^(1/5)-1</f>
        <v>0</v>
      </c>
      <c r="I125" s="58"/>
      <c r="J125" s="58"/>
      <c r="K125" s="58"/>
      <c r="L125" s="58"/>
      <c r="M125" s="58"/>
    </row>
    <row r="126" spans="2:22">
      <c r="B126" s="758" t="s">
        <v>104</v>
      </c>
      <c r="C126" s="759"/>
      <c r="D126" s="760">
        <f>(G88/G85)^(1/'GHG Inventories'!$C$11)-1</f>
        <v>-4.1488579647651957E-2</v>
      </c>
      <c r="E126" s="756">
        <f>(G98/G88)^(1/10)-1</f>
        <v>-4.0804836150026946E-2</v>
      </c>
      <c r="F126" s="756">
        <f>(G108/G98)^(1/10)-1</f>
        <v>-6.0148596801025356E-2</v>
      </c>
      <c r="G126" s="717">
        <f>($G$113/$G$98)^(1/15)-1</f>
        <v>-8.5906623718559616E-2</v>
      </c>
      <c r="H126" s="952">
        <f>(($G$118/$G$113)^(1/5)-1)</f>
        <v>-1.5875496588917177</v>
      </c>
      <c r="I126" s="58"/>
      <c r="J126" s="58"/>
      <c r="K126" s="58"/>
      <c r="L126" s="58"/>
      <c r="M126" s="58"/>
    </row>
    <row r="127" spans="2:22" ht="16" thickBot="1">
      <c r="B127" s="761" t="s">
        <v>386</v>
      </c>
      <c r="C127" s="762">
        <f>(M78/M73)^(1/5)-1</f>
        <v>-7.2369303208954516E-3</v>
      </c>
      <c r="D127" s="763"/>
      <c r="E127" s="757"/>
      <c r="F127" s="757"/>
      <c r="G127" s="764"/>
      <c r="H127" s="755"/>
      <c r="I127" s="58"/>
      <c r="J127" s="58"/>
      <c r="K127" s="58"/>
      <c r="L127" s="58"/>
      <c r="M127" s="58"/>
    </row>
    <row r="128" spans="2:22" ht="16" thickBot="1">
      <c r="B128" s="10"/>
      <c r="C128" s="12"/>
      <c r="D128" s="12"/>
      <c r="E128" s="12"/>
      <c r="F128" s="12"/>
      <c r="G128" s="58"/>
      <c r="H128" s="58"/>
      <c r="I128" s="58"/>
      <c r="J128" s="58"/>
      <c r="K128" s="58"/>
    </row>
    <row r="129" spans="2:62" ht="21" customHeight="1" thickBot="1">
      <c r="B129" s="1191" t="s">
        <v>522</v>
      </c>
      <c r="C129" s="1192"/>
      <c r="D129" s="1192"/>
      <c r="E129" s="1192"/>
      <c r="F129" s="1192"/>
      <c r="G129" s="1192"/>
      <c r="H129" s="1192"/>
      <c r="I129" s="1192"/>
      <c r="J129" s="1192"/>
      <c r="K129" s="1192"/>
      <c r="L129" s="1192"/>
      <c r="M129" s="1192"/>
      <c r="N129" s="1192"/>
      <c r="O129" s="1192"/>
      <c r="P129" s="1192"/>
      <c r="Q129" s="1192"/>
      <c r="R129" s="1192"/>
      <c r="S129" s="1192"/>
      <c r="T129" s="1192"/>
      <c r="U129" s="1192"/>
      <c r="V129" s="1192"/>
      <c r="W129" s="1192"/>
      <c r="X129" s="1192"/>
      <c r="Y129" s="1192"/>
      <c r="Z129" s="1192"/>
      <c r="AA129" s="1192"/>
      <c r="AB129" s="1192"/>
      <c r="AC129" s="1192"/>
      <c r="AD129" s="1192"/>
      <c r="AE129" s="1192"/>
      <c r="AF129" s="1192"/>
      <c r="AG129" s="1192"/>
      <c r="AH129" s="1192"/>
      <c r="AI129" s="1192"/>
      <c r="AJ129" s="1192"/>
      <c r="AK129" s="1192"/>
      <c r="AL129" s="1192"/>
      <c r="AM129" s="1192"/>
      <c r="AN129" s="1192"/>
      <c r="AO129" s="1192"/>
      <c r="AP129" s="1192"/>
      <c r="AQ129" s="1192"/>
      <c r="AR129" s="1192"/>
      <c r="AS129" s="1192"/>
      <c r="AT129" s="1192"/>
      <c r="AU129" s="1192"/>
      <c r="AV129" s="1192"/>
      <c r="AW129" s="1192"/>
      <c r="AX129" s="1192"/>
      <c r="AY129" s="1192"/>
      <c r="AZ129" s="1192"/>
      <c r="BA129" s="1192"/>
      <c r="BB129" s="1192"/>
      <c r="BC129" s="1192"/>
      <c r="BD129" s="1192"/>
      <c r="BE129" s="1192"/>
      <c r="BF129" s="1192"/>
      <c r="BG129" s="1192"/>
      <c r="BH129" s="1192"/>
      <c r="BI129" s="1192"/>
      <c r="BJ129" s="1193"/>
    </row>
    <row r="130" spans="2:62" ht="24" customHeight="1" thickBot="1">
      <c r="B130" s="1132" t="s">
        <v>251</v>
      </c>
      <c r="C130" s="1133"/>
      <c r="D130" s="1133"/>
      <c r="E130" s="1133"/>
      <c r="F130" s="1133"/>
      <c r="G130" s="1187"/>
      <c r="H130" s="1178" t="s">
        <v>354</v>
      </c>
      <c r="I130" s="1179"/>
      <c r="J130" s="1179"/>
      <c r="K130" s="1180"/>
      <c r="L130" s="1178" t="s">
        <v>355</v>
      </c>
      <c r="M130" s="1185"/>
      <c r="N130" s="1185"/>
      <c r="O130" s="1185"/>
      <c r="P130" s="1186"/>
      <c r="Q130" s="1178" t="s">
        <v>373</v>
      </c>
      <c r="R130" s="1206"/>
      <c r="S130" s="1181" t="s">
        <v>39</v>
      </c>
      <c r="T130" s="1183"/>
      <c r="U130" s="1183"/>
      <c r="V130" s="1184"/>
      <c r="W130" s="1181" t="s">
        <v>356</v>
      </c>
      <c r="X130" s="1183"/>
      <c r="Y130" s="1183"/>
      <c r="Z130" s="1183"/>
      <c r="AA130" s="1184"/>
      <c r="AB130" s="1181" t="s">
        <v>464</v>
      </c>
      <c r="AC130" s="1182"/>
      <c r="AD130" s="1200" t="s">
        <v>648</v>
      </c>
      <c r="AE130" s="1201"/>
      <c r="AF130" s="1201"/>
      <c r="AG130" s="1202"/>
      <c r="AH130" s="1200" t="s">
        <v>660</v>
      </c>
      <c r="AI130" s="1201"/>
      <c r="AJ130" s="1201"/>
      <c r="AK130" s="1201"/>
      <c r="AL130" s="1202"/>
      <c r="AM130" s="1200" t="s">
        <v>662</v>
      </c>
      <c r="AN130" s="1202"/>
      <c r="AO130" s="1197" t="s">
        <v>519</v>
      </c>
      <c r="AP130" s="1197"/>
      <c r="AQ130" s="1197"/>
      <c r="AR130" s="1199"/>
      <c r="AS130" s="1197" t="s">
        <v>520</v>
      </c>
      <c r="AT130" s="1197"/>
      <c r="AU130" s="1197"/>
      <c r="AV130" s="1197"/>
      <c r="AW130" s="1197"/>
      <c r="AX130" s="1198" t="s">
        <v>521</v>
      </c>
      <c r="AY130" s="1198"/>
      <c r="AZ130" s="1188" t="s">
        <v>519</v>
      </c>
      <c r="BA130" s="1188"/>
      <c r="BB130" s="1188"/>
      <c r="BC130" s="1189"/>
      <c r="BD130" s="1188" t="s">
        <v>677</v>
      </c>
      <c r="BE130" s="1188"/>
      <c r="BF130" s="1188"/>
      <c r="BG130" s="1188"/>
      <c r="BH130" s="1188"/>
      <c r="BI130" s="1190" t="s">
        <v>683</v>
      </c>
      <c r="BJ130" s="1190"/>
    </row>
    <row r="131" spans="2:62" ht="108.75" customHeight="1" thickBot="1">
      <c r="B131" s="350" t="s">
        <v>1</v>
      </c>
      <c r="C131" s="351" t="s">
        <v>8</v>
      </c>
      <c r="D131" s="352" t="s">
        <v>315</v>
      </c>
      <c r="E131" s="488" t="s">
        <v>500</v>
      </c>
      <c r="F131" s="460" t="s">
        <v>501</v>
      </c>
      <c r="G131" s="461" t="s">
        <v>502</v>
      </c>
      <c r="H131" s="464" t="s">
        <v>649</v>
      </c>
      <c r="I131" s="465" t="s">
        <v>406</v>
      </c>
      <c r="J131" s="465" t="s">
        <v>102</v>
      </c>
      <c r="K131" s="466" t="s">
        <v>405</v>
      </c>
      <c r="L131" s="464" t="s">
        <v>425</v>
      </c>
      <c r="M131" s="465" t="s">
        <v>361</v>
      </c>
      <c r="N131" s="465" t="s">
        <v>399</v>
      </c>
      <c r="O131" s="465" t="s">
        <v>400</v>
      </c>
      <c r="P131" s="466" t="s">
        <v>474</v>
      </c>
      <c r="Q131" s="464" t="s">
        <v>401</v>
      </c>
      <c r="R131" s="467" t="s">
        <v>380</v>
      </c>
      <c r="S131" s="473" t="s">
        <v>650</v>
      </c>
      <c r="T131" s="474" t="s">
        <v>407</v>
      </c>
      <c r="U131" s="474" t="s">
        <v>408</v>
      </c>
      <c r="V131" s="475" t="s">
        <v>409</v>
      </c>
      <c r="W131" s="473" t="s">
        <v>426</v>
      </c>
      <c r="X131" s="476" t="s">
        <v>402</v>
      </c>
      <c r="Y131" s="476" t="s">
        <v>403</v>
      </c>
      <c r="Z131" s="476" t="s">
        <v>404</v>
      </c>
      <c r="AA131" s="477" t="s">
        <v>379</v>
      </c>
      <c r="AB131" s="473" t="s">
        <v>466</v>
      </c>
      <c r="AC131" s="475" t="s">
        <v>380</v>
      </c>
      <c r="AD131" s="835" t="s">
        <v>651</v>
      </c>
      <c r="AE131" s="836" t="s">
        <v>652</v>
      </c>
      <c r="AF131" s="836" t="s">
        <v>653</v>
      </c>
      <c r="AG131" s="837" t="s">
        <v>654</v>
      </c>
      <c r="AH131" s="838" t="s">
        <v>655</v>
      </c>
      <c r="AI131" s="839" t="s">
        <v>657</v>
      </c>
      <c r="AJ131" s="840" t="s">
        <v>658</v>
      </c>
      <c r="AK131" s="840" t="s">
        <v>659</v>
      </c>
      <c r="AL131" s="841" t="s">
        <v>661</v>
      </c>
      <c r="AM131" s="842" t="s">
        <v>663</v>
      </c>
      <c r="AN131" s="843" t="s">
        <v>664</v>
      </c>
      <c r="AO131" s="816" t="s">
        <v>702</v>
      </c>
      <c r="AP131" s="817" t="s">
        <v>523</v>
      </c>
      <c r="AQ131" s="818" t="s">
        <v>524</v>
      </c>
      <c r="AR131" s="817" t="s">
        <v>525</v>
      </c>
      <c r="AS131" s="819" t="s">
        <v>542</v>
      </c>
      <c r="AT131" s="820" t="s">
        <v>547</v>
      </c>
      <c r="AU131" s="820" t="s">
        <v>548</v>
      </c>
      <c r="AV131" s="820" t="s">
        <v>549</v>
      </c>
      <c r="AW131" s="821" t="s">
        <v>681</v>
      </c>
      <c r="AX131" s="819" t="s">
        <v>550</v>
      </c>
      <c r="AY131" s="821" t="s">
        <v>551</v>
      </c>
      <c r="AZ131" s="822" t="s">
        <v>671</v>
      </c>
      <c r="BA131" s="823" t="s">
        <v>672</v>
      </c>
      <c r="BB131" s="824" t="s">
        <v>673</v>
      </c>
      <c r="BC131" s="823" t="s">
        <v>674</v>
      </c>
      <c r="BD131" s="825" t="s">
        <v>675</v>
      </c>
      <c r="BE131" s="826" t="s">
        <v>678</v>
      </c>
      <c r="BF131" s="826" t="s">
        <v>679</v>
      </c>
      <c r="BG131" s="826" t="s">
        <v>680</v>
      </c>
      <c r="BH131" s="827" t="s">
        <v>682</v>
      </c>
      <c r="BI131" s="825" t="s">
        <v>684</v>
      </c>
      <c r="BJ131" s="827" t="s">
        <v>685</v>
      </c>
    </row>
    <row r="132" spans="2:62">
      <c r="B132" s="1176" t="s">
        <v>2</v>
      </c>
      <c r="C132" s="338" t="s">
        <v>10</v>
      </c>
      <c r="D132" s="482" t="s">
        <v>118</v>
      </c>
      <c r="E132" s="531">
        <v>120000000</v>
      </c>
      <c r="F132" s="339">
        <f>'GHG Inventories'!D58</f>
        <v>26971.667316189003</v>
      </c>
      <c r="G132" s="353">
        <f>F132/E132</f>
        <v>2.2476389430157502E-4</v>
      </c>
      <c r="H132" s="377">
        <f>Forecast!F48</f>
        <v>4.0614940546006562E-3</v>
      </c>
      <c r="I132" s="341">
        <f>E132*(1+H132)^'GHG Inventories'!$C$11</f>
        <v>121468084.36355928</v>
      </c>
      <c r="J132" s="341">
        <f>F132*(1+H132)^'GHG Inventories'!$C$11</f>
        <v>27301.639674905837</v>
      </c>
      <c r="K132" s="342">
        <f t="shared" ref="K132:K147" si="11">J132/I132</f>
        <v>2.2476389430157504E-4</v>
      </c>
      <c r="L132" s="343">
        <f>I132</f>
        <v>121468084.36355928</v>
      </c>
      <c r="M132" s="344">
        <f>(L132-I132)*K132</f>
        <v>0</v>
      </c>
      <c r="N132" s="345">
        <f>'State Policies + Assumptions'!$F$138</f>
        <v>2.2476389430157502E-4</v>
      </c>
      <c r="O132" s="344">
        <f>L132*(N132-K132)</f>
        <v>-3.2923990238655875E-12</v>
      </c>
      <c r="P132" s="346">
        <f t="shared" ref="P132:P149" si="12">SUM(J132,M132,O132)</f>
        <v>27301.639674905833</v>
      </c>
      <c r="Q132" s="343">
        <f>R132-P132</f>
        <v>-19931.497846159</v>
      </c>
      <c r="R132" s="347">
        <f>(L132*'State Policies + Assumptions'!C182*'State Policies + Assumptions'!C183)+(L132*'State Policies + Assumptions'!C181*N132)</f>
        <v>7370.1418287468341</v>
      </c>
      <c r="S132" s="377">
        <f>Forecast!H48</f>
        <v>4.0760184110770759E-3</v>
      </c>
      <c r="T132" s="341">
        <f>E132*(1+S132)^'GHG Inventories'!$C$12</f>
        <v>126516443.03160392</v>
      </c>
      <c r="U132" s="341">
        <f>F132*(1+S132)^'GHG Inventories'!$C$12</f>
        <v>28436.328428966659</v>
      </c>
      <c r="V132" s="348">
        <f t="shared" ref="V132:V147" si="13">U132/T132</f>
        <v>2.2476389430157502E-4</v>
      </c>
      <c r="W132" s="343">
        <f>T132*(1-'State Policies + Assumptions'!C112)</f>
        <v>117669822.44824526</v>
      </c>
      <c r="X132" s="344">
        <f>(W132-T132)*V132</f>
        <v>-1988.4008937241638</v>
      </c>
      <c r="Y132" s="345">
        <f>'State Policies + Assumptions'!$F$148</f>
        <v>1.7053223144725138E-4</v>
      </c>
      <c r="Z132" s="344">
        <f>W132*(Y132-V132)</f>
        <v>-6381.4301391413601</v>
      </c>
      <c r="AA132" s="349">
        <f>SUM(U132,X132,Z132)</f>
        <v>20066.497396101135</v>
      </c>
      <c r="AB132" s="343">
        <f>AC132-AA132</f>
        <v>-19753.460036721957</v>
      </c>
      <c r="AC132" s="555">
        <f>(W132*'State Policies + Assumptions'!D182*'State Policies + Assumptions'!D183)+(W132*'State Policies + Assumptions'!D181*Y132)</f>
        <v>313.0373593791777</v>
      </c>
      <c r="AD132" s="778">
        <f>Forecast!J48</f>
        <v>4.4537023155368782E-3</v>
      </c>
      <c r="AE132" s="341">
        <f>E132*(1+AD132)^'GHG Inventories'!$C$13</f>
        <v>132913622.61710675</v>
      </c>
      <c r="AF132" s="341">
        <f>F132*(1+AD132)^'GHG Inventories'!$C$13</f>
        <v>29874.183425150812</v>
      </c>
      <c r="AG132" s="342">
        <f>AF132/AE132</f>
        <v>2.2476389430157502E-4</v>
      </c>
      <c r="AH132" s="188">
        <f>AE132*(1-'State Policies + Assumptions'!C113)</f>
        <v>112442291.64762786</v>
      </c>
      <c r="AI132" s="188">
        <f>(AH132-AE132)*AG132</f>
        <v>-4601.2160702365127</v>
      </c>
      <c r="AJ132" s="812">
        <f>'State Policies + Assumptions'!$F$158</f>
        <v>5.6844077149083793E-5</v>
      </c>
      <c r="AK132" s="188">
        <f>AH132*(AJ132-AG132)</f>
        <v>-18881.289053676763</v>
      </c>
      <c r="AL132" s="188">
        <f>SUM(AF132,AI132,AK132)</f>
        <v>6391.6783012375345</v>
      </c>
      <c r="AM132" s="780">
        <f>AN132-AL132</f>
        <v>-6291.9681197382288</v>
      </c>
      <c r="AN132" s="918">
        <f>(AH132*'State Policies + Assumptions'!$E$182*'State Policies + Assumptions'!$E$183)+(AH132*'State Policies + Assumptions'!$E$181*AJ132)</f>
        <v>99.710181499305591</v>
      </c>
      <c r="AO132" s="919">
        <f>L48</f>
        <v>4.9945387857048829E-3</v>
      </c>
      <c r="AP132" s="563">
        <f>E132*(1+AO132)^'GHG Inventories'!$C$14</f>
        <v>137963719.91736585</v>
      </c>
      <c r="AQ132" s="566">
        <f>F132*(1+AO132)^'GHG Inventories'!$C$14</f>
        <v>31009.262960958917</v>
      </c>
      <c r="AR132" s="910">
        <f>AQ132/AP132</f>
        <v>2.2476389430157502E-4</v>
      </c>
      <c r="AS132" s="909">
        <f>AP132*(1-'State Policies + Assumptions'!C114)</f>
        <v>114828774.5598138</v>
      </c>
      <c r="AT132" s="577">
        <f>(AS132-AP132)*AR132</f>
        <v>-5199.9004130175426</v>
      </c>
      <c r="AU132" s="567">
        <f>'State Policies + Assumptions'!$F$163</f>
        <v>0</v>
      </c>
      <c r="AV132" s="566">
        <f>AS132*(AU132-AR132)</f>
        <v>-25809.362547941375</v>
      </c>
      <c r="AW132" s="910">
        <f>SUM(AQ132,AT132,AV132)</f>
        <v>0</v>
      </c>
      <c r="AX132" s="587">
        <f>AY132-AW132</f>
        <v>0</v>
      </c>
      <c r="AY132" s="882">
        <f>(AS132*'State Policies + Assumptions'!F182*'State Policies + Assumptions'!F183)+(AS132*'State Policies + Assumptions'!F181*AU132)</f>
        <v>0</v>
      </c>
      <c r="AZ132" s="924">
        <f>N48</f>
        <v>5.4387920332972239E-3</v>
      </c>
      <c r="BA132" s="563">
        <f>E132*(1+AZ132)^'GHG Inventories'!$C$15</f>
        <v>143521602.62711802</v>
      </c>
      <c r="BB132" s="563">
        <f>F132*(1+AZ132)^'GHG Inventories'!$C$15</f>
        <v>32258.474322874208</v>
      </c>
      <c r="BC132" s="925">
        <f>BB132/BA132</f>
        <v>2.2476389430157504E-4</v>
      </c>
      <c r="BD132" s="909">
        <f>BA132*(1-'State Policies + Assumptions'!C115)</f>
        <v>115097876.4814841</v>
      </c>
      <c r="BE132" s="563">
        <f>(BD132-BA132)*BC132</f>
        <v>-6388.6273790541773</v>
      </c>
      <c r="BF132" s="567">
        <f>'State Policies + Assumptions'!$F$168</f>
        <v>0</v>
      </c>
      <c r="BG132" s="563">
        <f>BD132*(BF132-BC132)</f>
        <v>-25869.846943820034</v>
      </c>
      <c r="BH132" s="929">
        <f>SUM(BB132,BE132,BG132)</f>
        <v>0</v>
      </c>
      <c r="BI132" s="906">
        <f>BJ132-BH132</f>
        <v>0</v>
      </c>
      <c r="BJ132" s="912">
        <f>(BD132*'State Policies + Assumptions'!$G$182*'State Policies + Assumptions'!$G$183)+(BD132*'State Policies + Assumptions'!$G$181*BF132)</f>
        <v>0</v>
      </c>
    </row>
    <row r="133" spans="2:62" ht="16" thickBot="1">
      <c r="B133" s="1177"/>
      <c r="C133" s="326" t="s">
        <v>11</v>
      </c>
      <c r="D133" s="483" t="s">
        <v>316</v>
      </c>
      <c r="E133" s="532">
        <v>10106522</v>
      </c>
      <c r="F133" s="327">
        <f>'GHG Inventories'!D59</f>
        <v>53722.228343200004</v>
      </c>
      <c r="G133" s="328">
        <f t="shared" ref="G133:G147" si="14">F133/E133</f>
        <v>5.3156000000000002E-3</v>
      </c>
      <c r="H133" s="378">
        <f>Forecast!F48</f>
        <v>4.0614940546006562E-3</v>
      </c>
      <c r="I133" s="329">
        <f>E133*(1+H133)^'GHG Inventories'!$C$11</f>
        <v>10230165.557651399</v>
      </c>
      <c r="J133" s="329">
        <f>F133*(1+H133)^'GHG Inventories'!$C$11</f>
        <v>54379.468038251784</v>
      </c>
      <c r="K133" s="330">
        <f t="shared" si="11"/>
        <v>5.3156000000000011E-3</v>
      </c>
      <c r="L133" s="331">
        <f t="shared" ref="L133:L137" si="15">I133</f>
        <v>10230165.557651399</v>
      </c>
      <c r="M133" s="332">
        <f t="shared" ref="M133:M147" si="16">(L133-I133)*K133</f>
        <v>0</v>
      </c>
      <c r="N133" s="333">
        <f>K133</f>
        <v>5.3156000000000011E-3</v>
      </c>
      <c r="O133" s="332">
        <v>0</v>
      </c>
      <c r="P133" s="334">
        <f t="shared" si="12"/>
        <v>54379.468038251784</v>
      </c>
      <c r="Q133" s="331">
        <v>0</v>
      </c>
      <c r="R133" s="335">
        <f>SUM(P133:Q133)</f>
        <v>54379.468038251784</v>
      </c>
      <c r="S133" s="378">
        <f>Forecast!H48</f>
        <v>4.0760184110770759E-3</v>
      </c>
      <c r="T133" s="329">
        <f>E133*(1+S133)^'GHG Inventories'!$C$12</f>
        <v>10655343.457172098</v>
      </c>
      <c r="U133" s="329">
        <f>F133*(1+S133)^'GHG Inventories'!$C$12</f>
        <v>56639.543680944</v>
      </c>
      <c r="V133" s="336">
        <f t="shared" si="13"/>
        <v>5.3156000000000002E-3</v>
      </c>
      <c r="W133" s="331">
        <f>T133*(1-'State Policies + Assumptions'!C108)</f>
        <v>10282807.767374733</v>
      </c>
      <c r="X133" s="332">
        <f>(W133-T133)*V133</f>
        <v>-1980.2507126868691</v>
      </c>
      <c r="Y133" s="333">
        <f>V133</f>
        <v>5.3156000000000002E-3</v>
      </c>
      <c r="Z133" s="332">
        <v>0</v>
      </c>
      <c r="AA133" s="337">
        <f>SUM(U133,X133,Z133)</f>
        <v>54659.292968257134</v>
      </c>
      <c r="AB133" s="331">
        <v>0</v>
      </c>
      <c r="AC133" s="556">
        <f>SUM(AA133:AB133)</f>
        <v>54659.292968257134</v>
      </c>
      <c r="AD133" s="781">
        <f>Forecast!J48</f>
        <v>4.4537023155368782E-3</v>
      </c>
      <c r="AE133" s="329">
        <f>E133*(1+AD133)^'GHG Inventories'!$C$13</f>
        <v>11194120.425662391</v>
      </c>
      <c r="AF133" s="329">
        <f>F133*(1+AD133)^'GHG Inventories'!$C$13</f>
        <v>59503.466534651008</v>
      </c>
      <c r="AG133" s="330">
        <f t="shared" ref="AG133:AG137" si="17">AF133/AE133</f>
        <v>5.3156000000000002E-3</v>
      </c>
      <c r="AH133" s="188">
        <f>AE133*(1-'State Policies + Assumptions'!C109)</f>
        <v>10332062.272277726</v>
      </c>
      <c r="AI133" s="188">
        <f t="shared" ref="AI133:AI149" si="18">(AH133-AE133)*AG133</f>
        <v>-4582.3563201315255</v>
      </c>
      <c r="AJ133" s="812">
        <f>AG133</f>
        <v>5.3156000000000002E-3</v>
      </c>
      <c r="AK133" s="188">
        <v>0</v>
      </c>
      <c r="AL133" s="188">
        <f t="shared" ref="AL133:AL149" si="19">SUM(AF133,AI133,AK133)</f>
        <v>54921.110214519482</v>
      </c>
      <c r="AM133" s="776">
        <v>0</v>
      </c>
      <c r="AN133" s="560">
        <f>SUM(AL133:AM133)</f>
        <v>54921.110214519482</v>
      </c>
      <c r="AO133" s="920">
        <f>L48</f>
        <v>4.9945387857048829E-3</v>
      </c>
      <c r="AP133" s="565">
        <f>E133*(1+AO133)^'GHG Inventories'!$C$14</f>
        <v>11619444.754555801</v>
      </c>
      <c r="AQ133" s="564">
        <f>F133*(1+AO133)^'GHG Inventories'!$C$14</f>
        <v>61764.320537316817</v>
      </c>
      <c r="AR133" s="912">
        <f t="shared" ref="AR133:AR149" si="20">AQ133/AP133</f>
        <v>5.3156000000000002E-3</v>
      </c>
      <c r="AS133" s="582">
        <f>AP133*(1-'State Policies + Assumptions'!C110)</f>
        <v>10645220.445285395</v>
      </c>
      <c r="AT133" s="578">
        <f t="shared" ref="AT133:AT137" si="21">(AS133-AP133)*AR133</f>
        <v>-5178.5867383577706</v>
      </c>
      <c r="AU133" s="581">
        <f>AR133</f>
        <v>5.3156000000000002E-3</v>
      </c>
      <c r="AV133" s="564">
        <f>AS133*(AU133-AR133)</f>
        <v>0</v>
      </c>
      <c r="AW133" s="911">
        <f t="shared" ref="AW133:AW149" si="22">SUM(AQ133,AT133,AV133)</f>
        <v>56585.733798959045</v>
      </c>
      <c r="AX133" s="582">
        <v>0</v>
      </c>
      <c r="AY133" s="883">
        <f>SUM(AW133:AX133)</f>
        <v>56585.733798959045</v>
      </c>
      <c r="AZ133" s="926">
        <f>N48</f>
        <v>5.4387920332972239E-3</v>
      </c>
      <c r="BA133" s="564">
        <f>E133*(1+AZ133)^'GHG Inventories'!$C$15</f>
        <v>12087535.286885217</v>
      </c>
      <c r="BB133" s="564">
        <f>F133*(1+AZ133)^'GHG Inventories'!$C$15</f>
        <v>64252.502570967066</v>
      </c>
      <c r="BC133" s="912">
        <f t="shared" ref="BC133:BC149" si="23">BB133/BA133</f>
        <v>5.3156000000000011E-3</v>
      </c>
      <c r="BD133" s="582">
        <f>BA133*(1-'State Policies + Assumptions'!C111)</f>
        <v>10890597.730165116</v>
      </c>
      <c r="BE133" s="564">
        <f t="shared" ref="BE133:BE149" si="24">(BD133-BA133)*BC133</f>
        <v>-6362.4412765013667</v>
      </c>
      <c r="BF133" s="568">
        <f>BC133</f>
        <v>5.3156000000000011E-3</v>
      </c>
      <c r="BG133" s="564">
        <f t="shared" ref="BG133:BG149" si="25">BD133*(BF133-BC133)</f>
        <v>0</v>
      </c>
      <c r="BH133" s="911">
        <f t="shared" ref="BH133:BH149" si="26">SUM(BB133,BE133,BG133)</f>
        <v>57890.061294465697</v>
      </c>
      <c r="BI133" s="906">
        <v>0</v>
      </c>
      <c r="BJ133" s="911">
        <f>SUM(BH133:BI133)</f>
        <v>57890.061294465697</v>
      </c>
    </row>
    <row r="134" spans="2:62">
      <c r="B134" s="1176" t="s">
        <v>3</v>
      </c>
      <c r="C134" s="338" t="s">
        <v>10</v>
      </c>
      <c r="D134" s="482" t="s">
        <v>118</v>
      </c>
      <c r="E134" s="531">
        <v>381014021</v>
      </c>
      <c r="F134" s="339">
        <f>'GHG Inventories'!D60</f>
        <v>70616.073684963849</v>
      </c>
      <c r="G134" s="340">
        <f t="shared" si="14"/>
        <v>1.8533720491342194E-4</v>
      </c>
      <c r="H134" s="377">
        <f>Forecast!F49</f>
        <v>9.5414126320407799E-3</v>
      </c>
      <c r="I134" s="341">
        <f>E134*(1+H134)^'GHG Inventories'!$C$11</f>
        <v>392024648.8392536</v>
      </c>
      <c r="J134" s="341">
        <f>F134*(1+H134)^'GHG Inventories'!$C$11</f>
        <v>72656.752673033028</v>
      </c>
      <c r="K134" s="342">
        <f t="shared" si="11"/>
        <v>1.8533720491342194E-4</v>
      </c>
      <c r="L134" s="343">
        <f t="shared" si="15"/>
        <v>392024648.8392536</v>
      </c>
      <c r="M134" s="344">
        <f t="shared" si="16"/>
        <v>0</v>
      </c>
      <c r="N134" s="345">
        <f>'State Policies + Assumptions'!$F$138</f>
        <v>2.2476389430157502E-4</v>
      </c>
      <c r="O134" s="344">
        <f>L134*(N134-K134)</f>
        <v>15456.234062285035</v>
      </c>
      <c r="P134" s="346">
        <f t="shared" si="12"/>
        <v>88112.98673531806</v>
      </c>
      <c r="Q134" s="343">
        <f>R134-P134</f>
        <v>-64326.678772625251</v>
      </c>
      <c r="R134" s="347">
        <f>(L134*'State Policies + Assumptions'!C182*'State Policies + Assumptions'!C183)+(L134*'State Policies + Assumptions'!C181*N134)</f>
        <v>23786.307962692812</v>
      </c>
      <c r="S134" s="377">
        <f>Forecast!H49</f>
        <v>6.6506721091372789E-3</v>
      </c>
      <c r="T134" s="341">
        <f>E134*(1+S134)^'GHG Inventories'!$C$12</f>
        <v>415303125.47922814</v>
      </c>
      <c r="U134" s="341">
        <f>F134*(1+S134)^'GHG Inventories'!$C$12</f>
        <v>76971.120468128283</v>
      </c>
      <c r="V134" s="348">
        <f t="shared" si="13"/>
        <v>1.8533720491342191E-4</v>
      </c>
      <c r="W134" s="343">
        <f>T134*(1-'State Policies + Assumptions'!C128)</f>
        <v>290712187.83545965</v>
      </c>
      <c r="X134" s="344">
        <f t="shared" ref="X134:X145" si="27">(W134-T134)*V134</f>
        <v>-23091.336140438492</v>
      </c>
      <c r="Y134" s="345">
        <f>'State Policies + Assumptions'!$F$148</f>
        <v>1.7053223144725138E-4</v>
      </c>
      <c r="Z134" s="344">
        <f>W134*(Y134-V134)</f>
        <v>-4303.9862271963648</v>
      </c>
      <c r="AA134" s="349">
        <f t="shared" ref="AA134:AA149" si="28">SUM(U134,X134,Z134)</f>
        <v>49575.798100493426</v>
      </c>
      <c r="AB134" s="343">
        <f>AC134-AA134</f>
        <v>-48802.415650125731</v>
      </c>
      <c r="AC134" s="555">
        <f>(W134*'State Policies + Assumptions'!D182*'State Policies + Assumptions'!D183)+(W134*'State Policies + Assumptions'!D181*Y134)</f>
        <v>773.3824503676974</v>
      </c>
      <c r="AD134" s="782">
        <f>Forecast!J49</f>
        <v>6.3944177610164576E-3</v>
      </c>
      <c r="AE134" s="785">
        <f>E134*(1+AD134)^'GHG Inventories'!$C$13</f>
        <v>441174090.14269924</v>
      </c>
      <c r="AF134" s="785">
        <f>F134*(1+AD134)^'GHG Inventories'!$C$13</f>
        <v>81765.972747269931</v>
      </c>
      <c r="AG134" s="786">
        <f t="shared" si="17"/>
        <v>1.8533720491342194E-4</v>
      </c>
      <c r="AH134" s="188">
        <f>AE134*(1-'State Policies + Assumptions'!C129)</f>
        <v>229410526.87420362</v>
      </c>
      <c r="AI134" s="188">
        <f t="shared" si="18"/>
        <v>-39247.666918689567</v>
      </c>
      <c r="AJ134" s="812">
        <f>'State Policies + Assumptions'!$F$158</f>
        <v>5.6844077149083793E-5</v>
      </c>
      <c r="AK134" s="188">
        <f>AH134*(AJ134-AG134)</f>
        <v>-29477.676140131178</v>
      </c>
      <c r="AL134" s="188">
        <f t="shared" si="19"/>
        <v>13040.629688449186</v>
      </c>
      <c r="AM134" s="780">
        <f>AN134-AL134</f>
        <v>-12837.195865309379</v>
      </c>
      <c r="AN134" s="918">
        <f>(AH134*'State Policies + Assumptions'!$E$182*'State Policies + Assumptions'!$E$183)+(AH134*'State Policies + Assumptions'!$E$181*AJ134)</f>
        <v>203.43382313980737</v>
      </c>
      <c r="AO134" s="920">
        <f>Forecast!L49</f>
        <v>6.2847709004891783E-3</v>
      </c>
      <c r="AP134" s="564">
        <f>E134*(1+AO134)^'GHG Inventories'!$C$14</f>
        <v>454073504.61595589</v>
      </c>
      <c r="AQ134" s="564">
        <f>F134*(1+AO134)^'GHG Inventories'!$C$14</f>
        <v>84156.714170763051</v>
      </c>
      <c r="AR134" s="912">
        <f t="shared" si="20"/>
        <v>1.8533720491342191E-4</v>
      </c>
      <c r="AS134" s="582">
        <f>AP134*(1-'State Policies + Assumptions'!C130)</f>
        <v>181629401.84638238</v>
      </c>
      <c r="AT134" s="578">
        <f t="shared" si="21"/>
        <v>-50494.028502457826</v>
      </c>
      <c r="AU134" s="581">
        <f>'State Policies + Assumptions'!$F$163</f>
        <v>0</v>
      </c>
      <c r="AV134" s="564">
        <f t="shared" ref="AV134:AV147" si="29">AS134*(AU134-AR134)</f>
        <v>-33662.685668305225</v>
      </c>
      <c r="AW134" s="912">
        <f t="shared" si="22"/>
        <v>0</v>
      </c>
      <c r="AX134" s="587">
        <f>AY134-AW134</f>
        <v>0</v>
      </c>
      <c r="AY134" s="882">
        <f>(AS134*'State Policies + Assumptions'!F184*'State Policies + Assumptions'!F185)+(AS134*'State Policies + Assumptions'!F183*AU134)</f>
        <v>0</v>
      </c>
      <c r="AZ134" s="926">
        <f>Forecast!N49</f>
        <v>6.2166428143841657E-3</v>
      </c>
      <c r="BA134" s="564">
        <f>E134*(1+AZ134)^'GHG Inventories'!$C$15</f>
        <v>467477093.03595001</v>
      </c>
      <c r="BB134" s="564">
        <f>F134*(1+AZ134)^'GHG Inventories'!$C$15</f>
        <v>86640.897784334666</v>
      </c>
      <c r="BC134" s="912">
        <f t="shared" si="23"/>
        <v>1.8533720491342191E-4</v>
      </c>
      <c r="BD134" s="582">
        <f>BA134*(1-'State Policies + Assumptions'!C131)</f>
        <v>186990837.21438003</v>
      </c>
      <c r="BE134" s="564">
        <f t="shared" si="24"/>
        <v>-51984.538670600792</v>
      </c>
      <c r="BF134" s="568">
        <f>'State Policies + Assumptions'!$F$168</f>
        <v>0</v>
      </c>
      <c r="BG134" s="564">
        <f t="shared" si="25"/>
        <v>-34656.359113733874</v>
      </c>
      <c r="BH134" s="911">
        <f t="shared" si="26"/>
        <v>0</v>
      </c>
      <c r="BI134" s="906">
        <f t="shared" ref="BI134" si="30">BJ134-BH134</f>
        <v>0</v>
      </c>
      <c r="BJ134" s="912">
        <f>(BD134*'State Policies + Assumptions'!$G$182*'State Policies + Assumptions'!$G$183)+(BD134*'State Policies + Assumptions'!$G$181*BF134)</f>
        <v>0</v>
      </c>
    </row>
    <row r="135" spans="2:62" ht="16" thickBot="1">
      <c r="B135" s="1177"/>
      <c r="C135" s="326" t="s">
        <v>11</v>
      </c>
      <c r="D135" s="483" t="s">
        <v>316</v>
      </c>
      <c r="E135" s="532">
        <v>12059878</v>
      </c>
      <c r="F135" s="327">
        <f>'GHG Inventories'!D61</f>
        <v>64105.4874968</v>
      </c>
      <c r="G135" s="328">
        <f t="shared" si="14"/>
        <v>5.3156000000000002E-3</v>
      </c>
      <c r="H135" s="378">
        <f>Forecast!F49</f>
        <v>9.5414126320407799E-3</v>
      </c>
      <c r="I135" s="329">
        <f>E135*(1+H135)^'GHG Inventories'!$C$11</f>
        <v>12408387.034119776</v>
      </c>
      <c r="J135" s="329">
        <f>F135*(1+H135)^'GHG Inventories'!$C$11</f>
        <v>65958.022118567082</v>
      </c>
      <c r="K135" s="330">
        <f t="shared" si="11"/>
        <v>5.3156000000000002E-3</v>
      </c>
      <c r="L135" s="331">
        <f t="shared" si="15"/>
        <v>12408387.034119776</v>
      </c>
      <c r="M135" s="332">
        <f t="shared" si="16"/>
        <v>0</v>
      </c>
      <c r="N135" s="333">
        <f>K135</f>
        <v>5.3156000000000002E-3</v>
      </c>
      <c r="O135" s="332">
        <v>0</v>
      </c>
      <c r="P135" s="334">
        <f t="shared" si="12"/>
        <v>65958.022118567082</v>
      </c>
      <c r="Q135" s="331">
        <v>0</v>
      </c>
      <c r="R135" s="335">
        <f t="shared" ref="R135:R148" si="31">SUM(P135:Q135)</f>
        <v>65958.022118567082</v>
      </c>
      <c r="S135" s="378">
        <f>Forecast!H49</f>
        <v>6.6506721091372789E-3</v>
      </c>
      <c r="T135" s="329">
        <f>E135*(1+S135)^'GHG Inventories'!$C$12</f>
        <v>13145198.733508505</v>
      </c>
      <c r="U135" s="329">
        <f>F135*(1+S135)^'GHG Inventories'!$C$12</f>
        <v>69874.618387837807</v>
      </c>
      <c r="V135" s="336">
        <f t="shared" si="13"/>
        <v>5.3156000000000002E-3</v>
      </c>
      <c r="W135" s="331">
        <f>T135*(1-'State Policies + Assumptions'!C124)</f>
        <v>11173418.923482228</v>
      </c>
      <c r="X135" s="332">
        <f t="shared" si="27"/>
        <v>-10481.192758175677</v>
      </c>
      <c r="Y135" s="333">
        <f>V135</f>
        <v>5.3156000000000002E-3</v>
      </c>
      <c r="Z135" s="332">
        <v>0</v>
      </c>
      <c r="AA135" s="337">
        <f t="shared" si="28"/>
        <v>59393.425629662132</v>
      </c>
      <c r="AB135" s="331">
        <v>0</v>
      </c>
      <c r="AC135" s="556">
        <f t="shared" ref="AC135:AC148" si="32">SUM(AA135:AB135)</f>
        <v>59393.425629662132</v>
      </c>
      <c r="AD135" s="779">
        <f>Forecast!J49</f>
        <v>6.3944177610164576E-3</v>
      </c>
      <c r="AE135" s="785">
        <f>E135*(1+AD135)^'GHG Inventories'!$C$13</f>
        <v>13964068.014919469</v>
      </c>
      <c r="AF135" s="785">
        <f>F135*(1+AD135)^'GHG Inventories'!$C$13</f>
        <v>74227.399940105926</v>
      </c>
      <c r="AG135" s="189">
        <f t="shared" si="17"/>
        <v>5.3155999999999993E-3</v>
      </c>
      <c r="AH135" s="188">
        <f>AE135*(1-'State Policies + Assumptions'!C125)</f>
        <v>10612691.691338796</v>
      </c>
      <c r="AI135" s="188">
        <f t="shared" si="18"/>
        <v>-17814.575985625423</v>
      </c>
      <c r="AJ135" s="812">
        <f>AG135</f>
        <v>5.3155999999999993E-3</v>
      </c>
      <c r="AK135" s="188">
        <v>0</v>
      </c>
      <c r="AL135" s="188">
        <f t="shared" si="19"/>
        <v>56412.823954480504</v>
      </c>
      <c r="AM135" s="776">
        <v>0</v>
      </c>
      <c r="AN135" s="560">
        <f>SUM(AL135:AM135)</f>
        <v>56412.823954480504</v>
      </c>
      <c r="AO135" s="920">
        <f>Forecast!L49</f>
        <v>6.2847709004891783E-3</v>
      </c>
      <c r="AP135" s="565">
        <f>E135*(1+AO135)^'GHG Inventories'!$C$14</f>
        <v>14372361.033666173</v>
      </c>
      <c r="AQ135" s="564">
        <f>F135*(1+AO135)^'GHG Inventories'!$C$14</f>
        <v>76397.72231055591</v>
      </c>
      <c r="AR135" s="912">
        <f t="shared" si="20"/>
        <v>5.3156000000000002E-3</v>
      </c>
      <c r="AS135" s="582">
        <f>AP135*(1-'State Policies + Assumptions'!C126)</f>
        <v>10060652.72356632</v>
      </c>
      <c r="AT135" s="578">
        <f t="shared" si="21"/>
        <v>-22919.31669316678</v>
      </c>
      <c r="AU135" s="581">
        <f>AR135</f>
        <v>5.3156000000000002E-3</v>
      </c>
      <c r="AV135" s="564">
        <f t="shared" si="29"/>
        <v>0</v>
      </c>
      <c r="AW135" s="911">
        <f t="shared" si="22"/>
        <v>53478.405617389129</v>
      </c>
      <c r="AX135" s="582">
        <v>0</v>
      </c>
      <c r="AY135" s="883">
        <f>SUM(AW135:AX135)</f>
        <v>53478.405617389129</v>
      </c>
      <c r="AZ135" s="926">
        <f>Forecast!N49</f>
        <v>6.2166428143841657E-3</v>
      </c>
      <c r="BA135" s="564">
        <f>E135*(1+AZ135)^'GHG Inventories'!$C$15</f>
        <v>14796612.195560662</v>
      </c>
      <c r="BB135" s="564">
        <f>F135*(1+AZ135)^'GHG Inventories'!$C$15</f>
        <v>78652.871786722259</v>
      </c>
      <c r="BC135" s="912">
        <f t="shared" si="23"/>
        <v>5.3156000000000002E-3</v>
      </c>
      <c r="BD135" s="582">
        <f>BA135*(1-'State Policies + Assumptions'!C127)</f>
        <v>10357628.536892463</v>
      </c>
      <c r="BE135" s="564">
        <f t="shared" si="24"/>
        <v>-23595.861536016684</v>
      </c>
      <c r="BF135" s="568">
        <f>BC135</f>
        <v>5.3156000000000002E-3</v>
      </c>
      <c r="BG135" s="564">
        <f t="shared" si="25"/>
        <v>0</v>
      </c>
      <c r="BH135" s="911">
        <f t="shared" si="26"/>
        <v>55057.010250705571</v>
      </c>
      <c r="BI135" s="906">
        <v>0</v>
      </c>
      <c r="BJ135" s="911">
        <f>SUM(BH135:BI135)</f>
        <v>55057.010250705571</v>
      </c>
    </row>
    <row r="136" spans="2:62" ht="16" thickBot="1">
      <c r="B136" s="199" t="s">
        <v>12</v>
      </c>
      <c r="C136" s="413" t="s">
        <v>10</v>
      </c>
      <c r="D136" s="484" t="s">
        <v>118</v>
      </c>
      <c r="E136" s="533">
        <v>74766164.503838435</v>
      </c>
      <c r="F136" s="370">
        <f>'GHG Inventories'!D62</f>
        <v>21170.75915147486</v>
      </c>
      <c r="G136" s="414">
        <f t="shared" si="14"/>
        <v>2.8315962564039204E-4</v>
      </c>
      <c r="H136" s="415">
        <f>Forecast!F49</f>
        <v>9.5414126320407799E-3</v>
      </c>
      <c r="I136" s="416">
        <f>E136*(1+H136)^'GHG Inventories'!$C$11</f>
        <v>76926773.738531604</v>
      </c>
      <c r="J136" s="416">
        <f>F136*(1+H136)^'GHG Inventories'!$C$11</f>
        <v>21782.556453525754</v>
      </c>
      <c r="K136" s="417">
        <f t="shared" si="11"/>
        <v>2.8315962564039209E-4</v>
      </c>
      <c r="L136" s="418">
        <f t="shared" si="15"/>
        <v>76926773.738531604</v>
      </c>
      <c r="M136" s="419">
        <f t="shared" si="16"/>
        <v>0</v>
      </c>
      <c r="N136" s="420">
        <f>(N134/K134)*K136</f>
        <v>3.4339602886339631E-4</v>
      </c>
      <c r="O136" s="419">
        <f>L136*(N136-K136)</f>
        <v>4633.7921615590012</v>
      </c>
      <c r="P136" s="421">
        <f t="shared" si="12"/>
        <v>26416.348615084757</v>
      </c>
      <c r="Q136" s="418">
        <v>0</v>
      </c>
      <c r="R136" s="422">
        <f t="shared" si="31"/>
        <v>26416.348615084757</v>
      </c>
      <c r="S136" s="415">
        <f>Forecast!H49</f>
        <v>6.6506721091372789E-3</v>
      </c>
      <c r="T136" s="416">
        <f>E136*(1+S136)^'GHG Inventories'!$C$12</f>
        <v>81494695.961695924</v>
      </c>
      <c r="U136" s="416">
        <f>F136*(1+S136)^'GHG Inventories'!$C$12</f>
        <v>23076.007600191388</v>
      </c>
      <c r="V136" s="423">
        <f t="shared" si="13"/>
        <v>2.8315962564039204E-4</v>
      </c>
      <c r="W136" s="418">
        <f>T136*(1-'State Policies + Assumptions'!C128)</f>
        <v>57046287.173187144</v>
      </c>
      <c r="X136" s="419">
        <f t="shared" si="27"/>
        <v>-6922.8022800574172</v>
      </c>
      <c r="Y136" s="420">
        <f>(Y134/V134)*V136</f>
        <v>2.6054047183230957E-4</v>
      </c>
      <c r="Z136" s="419">
        <f>W136*(Y136-V136)</f>
        <v>-1290.3387437503618</v>
      </c>
      <c r="AA136" s="424">
        <f t="shared" si="28"/>
        <v>14862.866576383607</v>
      </c>
      <c r="AB136" s="418">
        <v>0</v>
      </c>
      <c r="AC136" s="557">
        <f t="shared" si="32"/>
        <v>14862.866576383607</v>
      </c>
      <c r="AD136" s="779">
        <f>Forecast!J49</f>
        <v>6.3944177610164576E-3</v>
      </c>
      <c r="AE136" s="785">
        <f>E136*(1+AD136)^'GHG Inventories'!$C$13</f>
        <v>86571340.634313017</v>
      </c>
      <c r="AF136" s="785">
        <f>F136*(1+AD136)^'GHG Inventories'!$C$13</f>
        <v>24513.508405198936</v>
      </c>
      <c r="AG136" s="189">
        <f t="shared" si="17"/>
        <v>2.8315962564039209E-4</v>
      </c>
      <c r="AH136" s="188">
        <f>AE136*(1-'State Policies + Assumptions'!C129)</f>
        <v>45017097.129842773</v>
      </c>
      <c r="AI136" s="188">
        <f t="shared" si="18"/>
        <v>-11766.484034495488</v>
      </c>
      <c r="AJ136" s="812">
        <f>(AJ134/AG134)*AG136</f>
        <v>8.68468239441032E-5</v>
      </c>
      <c r="AK136" s="188">
        <f>AH136*(AJ136-AG136)</f>
        <v>-8837.4324617933999</v>
      </c>
      <c r="AL136" s="188">
        <f t="shared" si="19"/>
        <v>3909.591908910048</v>
      </c>
      <c r="AM136" s="776">
        <v>0</v>
      </c>
      <c r="AN136" s="560">
        <f t="shared" ref="AN136:AN148" si="33">SUM(AL136:AM136)</f>
        <v>3909.591908910048</v>
      </c>
      <c r="AO136" s="920">
        <f>Forecast!L49</f>
        <v>6.2847709004891783E-3</v>
      </c>
      <c r="AP136" s="868">
        <f>E136*(1+AO136)^'GHG Inventories'!$C$14</f>
        <v>89102585.395278662</v>
      </c>
      <c r="AQ136" s="564">
        <f>F136*(1+AO136)^'GHG Inventories'!$C$14</f>
        <v>25230.254724118171</v>
      </c>
      <c r="AR136" s="912">
        <f t="shared" si="20"/>
        <v>2.8315962564039204E-4</v>
      </c>
      <c r="AS136" s="582">
        <f>AP136*(1-'State Policies + Assumptions'!C130)</f>
        <v>35641034.158111468</v>
      </c>
      <c r="AT136" s="578">
        <f t="shared" si="21"/>
        <v>-15138.1528344709</v>
      </c>
      <c r="AU136" s="581">
        <f>(AU134/AR134)*AR136</f>
        <v>0</v>
      </c>
      <c r="AV136" s="564">
        <f t="shared" si="29"/>
        <v>-10092.101889647269</v>
      </c>
      <c r="AW136" s="912">
        <f t="shared" si="22"/>
        <v>0</v>
      </c>
      <c r="AX136" s="582">
        <v>0</v>
      </c>
      <c r="AY136" s="883">
        <f>SUM(AW136:AX136)</f>
        <v>0</v>
      </c>
      <c r="AZ136" s="926">
        <f>Forecast!N49</f>
        <v>6.2166428143841657E-3</v>
      </c>
      <c r="BA136" s="564">
        <f>E136*(1+AZ136)^'GHG Inventories'!$C$15</f>
        <v>91732763.922884673</v>
      </c>
      <c r="BB136" s="564">
        <f>F136*(1+AZ136)^'GHG Inventories'!$C$15</f>
        <v>25975.015091362486</v>
      </c>
      <c r="BC136" s="912">
        <f t="shared" si="23"/>
        <v>2.8315962564039204E-4</v>
      </c>
      <c r="BD136" s="582">
        <f>BA136*(1-'State Policies + Assumptions'!C131)</f>
        <v>36693105.569153868</v>
      </c>
      <c r="BE136" s="564">
        <f t="shared" si="24"/>
        <v>-15585.00905481749</v>
      </c>
      <c r="BF136" s="568">
        <f>(BF134/BC134)*BC136</f>
        <v>0</v>
      </c>
      <c r="BG136" s="564">
        <f t="shared" si="25"/>
        <v>-10390.006036544994</v>
      </c>
      <c r="BH136" s="911">
        <f t="shared" si="26"/>
        <v>0</v>
      </c>
      <c r="BI136" s="906">
        <v>0</v>
      </c>
      <c r="BJ136" s="911">
        <f t="shared" ref="BJ136:BJ137" si="34">SUM(BH136:BI136)</f>
        <v>0</v>
      </c>
    </row>
    <row r="137" spans="2:62" ht="16" thickBot="1">
      <c r="B137" s="425" t="s">
        <v>19</v>
      </c>
      <c r="C137" s="426" t="s">
        <v>20</v>
      </c>
      <c r="D137" s="485" t="s">
        <v>316</v>
      </c>
      <c r="E137" s="492">
        <f>F137/0.0053156</f>
        <v>3117781.6238994678</v>
      </c>
      <c r="F137" s="427">
        <f>'GHG Inventories'!D63</f>
        <v>16572.880000000012</v>
      </c>
      <c r="G137" s="428">
        <f t="shared" si="14"/>
        <v>5.3156000000000002E-3</v>
      </c>
      <c r="H137" s="429">
        <f>Forecast!F49</f>
        <v>9.5414126320407799E-3</v>
      </c>
      <c r="I137" s="430">
        <f>E137*(1+H137)^'GHG Inventories'!$C$11</f>
        <v>3207879.9700304642</v>
      </c>
      <c r="J137" s="430">
        <f>F137*(1+H137)^'GHG Inventories'!$C$11</f>
        <v>17051.806768693936</v>
      </c>
      <c r="K137" s="431">
        <f t="shared" si="11"/>
        <v>5.3156000000000002E-3</v>
      </c>
      <c r="L137" s="432">
        <f t="shared" si="15"/>
        <v>3207879.9700304642</v>
      </c>
      <c r="M137" s="433">
        <f t="shared" si="16"/>
        <v>0</v>
      </c>
      <c r="N137" s="434">
        <f t="shared" ref="N137:N148" si="35">K137</f>
        <v>5.3156000000000002E-3</v>
      </c>
      <c r="O137" s="433">
        <v>0</v>
      </c>
      <c r="P137" s="435">
        <f t="shared" si="12"/>
        <v>17051.806768693936</v>
      </c>
      <c r="Q137" s="432">
        <v>0</v>
      </c>
      <c r="R137" s="436">
        <f t="shared" si="31"/>
        <v>17051.806768693936</v>
      </c>
      <c r="S137" s="429">
        <f>Forecast!H49</f>
        <v>6.6506721091372789E-3</v>
      </c>
      <c r="T137" s="430">
        <f>E137*(1+S137)^'GHG Inventories'!$C$12</f>
        <v>3398364.3162757843</v>
      </c>
      <c r="U137" s="430">
        <f>F137*(1+S137)^'GHG Inventories'!$C$12</f>
        <v>18064.345359595558</v>
      </c>
      <c r="V137" s="437">
        <f t="shared" si="13"/>
        <v>5.3155999999999993E-3</v>
      </c>
      <c r="W137" s="432">
        <f>T137*(1-'State Policies + Assumptions'!C124)</f>
        <v>2888609.6688344167</v>
      </c>
      <c r="X137" s="433">
        <f t="shared" si="27"/>
        <v>-2709.6518039393331</v>
      </c>
      <c r="Y137" s="434">
        <f>V137</f>
        <v>5.3155999999999993E-3</v>
      </c>
      <c r="Z137" s="433">
        <v>0</v>
      </c>
      <c r="AA137" s="438">
        <f t="shared" si="28"/>
        <v>15354.693555656224</v>
      </c>
      <c r="AB137" s="432">
        <v>0</v>
      </c>
      <c r="AC137" s="558">
        <f t="shared" si="32"/>
        <v>15354.693555656224</v>
      </c>
      <c r="AD137" s="779">
        <f>Forecast!J49</f>
        <v>6.3944177610164576E-3</v>
      </c>
      <c r="AE137" s="785">
        <f>E137*(1+AD137)^'GHG Inventories'!$C$13</f>
        <v>3610062.6102352147</v>
      </c>
      <c r="AF137" s="785">
        <f>F137*(1+AD137)^'GHG Inventories'!$C$13</f>
        <v>19189.648810966308</v>
      </c>
      <c r="AG137" s="189">
        <f t="shared" si="17"/>
        <v>5.3156000000000002E-3</v>
      </c>
      <c r="AH137" s="188">
        <f>AE137*(1-'State Policies + Assumptions'!C125)</f>
        <v>2743647.5837787632</v>
      </c>
      <c r="AI137" s="188">
        <f t="shared" si="18"/>
        <v>-4605.5157146319134</v>
      </c>
      <c r="AJ137" s="812">
        <f>AG137</f>
        <v>5.3156000000000002E-3</v>
      </c>
      <c r="AK137" s="188">
        <v>0</v>
      </c>
      <c r="AL137" s="188">
        <f t="shared" si="19"/>
        <v>14584.133096334393</v>
      </c>
      <c r="AM137" s="776">
        <v>0</v>
      </c>
      <c r="AN137" s="560">
        <f t="shared" si="33"/>
        <v>14584.133096334393</v>
      </c>
      <c r="AO137" s="920">
        <f>Forecast!L49</f>
        <v>6.2847709004891783E-3</v>
      </c>
      <c r="AP137" s="868">
        <f>E137*(1+AO137)^'GHG Inventories'!$C$14</f>
        <v>3715616.6192405224</v>
      </c>
      <c r="AQ137" s="564">
        <f>F137*(1+AO137)^'GHG Inventories'!$C$14</f>
        <v>19750.731701234923</v>
      </c>
      <c r="AR137" s="912">
        <f t="shared" si="20"/>
        <v>5.3156000000000011E-3</v>
      </c>
      <c r="AS137" s="582">
        <f>AP137*(1-'State Policies + Assumptions'!C126)</f>
        <v>2600931.6334683653</v>
      </c>
      <c r="AT137" s="578">
        <f t="shared" si="21"/>
        <v>-5925.2195103704798</v>
      </c>
      <c r="AU137" s="581">
        <f>AR137</f>
        <v>5.3156000000000011E-3</v>
      </c>
      <c r="AV137" s="564">
        <f t="shared" si="29"/>
        <v>0</v>
      </c>
      <c r="AW137" s="911">
        <f t="shared" si="22"/>
        <v>13825.512190864443</v>
      </c>
      <c r="AX137" s="582">
        <v>0</v>
      </c>
      <c r="AY137" s="883">
        <f t="shared" ref="AY137:AY148" si="36">SUM(AW137:AX137)</f>
        <v>13825.512190864443</v>
      </c>
      <c r="AZ137" s="926">
        <f>Forecast!N49</f>
        <v>6.2166428143841657E-3</v>
      </c>
      <c r="BA137" s="564">
        <f>E137*(1+AZ137)^'GHG Inventories'!$C$15</f>
        <v>3825296.2094049202</v>
      </c>
      <c r="BB137" s="564">
        <f>F137*(1+AZ137)^'GHG Inventories'!$C$15</f>
        <v>20333.744530712796</v>
      </c>
      <c r="BC137" s="912">
        <f t="shared" si="23"/>
        <v>5.3156000000000011E-3</v>
      </c>
      <c r="BD137" s="582">
        <f>BA137*(1-'State Policies + Assumptions'!C127)</f>
        <v>2677707.3465834442</v>
      </c>
      <c r="BE137" s="564">
        <f t="shared" si="24"/>
        <v>-6100.1233592138396</v>
      </c>
      <c r="BF137" s="568">
        <f>BC137</f>
        <v>5.3156000000000011E-3</v>
      </c>
      <c r="BG137" s="564">
        <f t="shared" si="25"/>
        <v>0</v>
      </c>
      <c r="BH137" s="911">
        <f t="shared" si="26"/>
        <v>14233.621171498957</v>
      </c>
      <c r="BI137" s="906">
        <v>0</v>
      </c>
      <c r="BJ137" s="911">
        <f t="shared" si="34"/>
        <v>14233.621171498957</v>
      </c>
    </row>
    <row r="138" spans="2:62">
      <c r="B138" s="1121" t="s">
        <v>4</v>
      </c>
      <c r="C138" s="338" t="s">
        <v>421</v>
      </c>
      <c r="D138" s="482" t="s">
        <v>128</v>
      </c>
      <c r="E138" s="489">
        <f>'GHG Inventories'!E76</f>
        <v>610873868.24579096</v>
      </c>
      <c r="F138" s="312"/>
      <c r="G138" s="313"/>
      <c r="H138" s="377">
        <f>Forecast!F50</f>
        <v>1.940866536300323E-3</v>
      </c>
      <c r="I138" s="341">
        <f>E138*(1+H138)^'GHG Inventories'!$C$11</f>
        <v>614437650.07594717</v>
      </c>
      <c r="J138" s="314"/>
      <c r="K138" s="315"/>
      <c r="L138" s="343">
        <f>I138</f>
        <v>614437650.07594717</v>
      </c>
      <c r="M138" s="316"/>
      <c r="N138" s="317"/>
      <c r="O138" s="316"/>
      <c r="P138" s="318"/>
      <c r="Q138" s="319"/>
      <c r="R138" s="320"/>
      <c r="S138" s="377">
        <f>Forecast!H50</f>
        <v>1.940866536300323E-3</v>
      </c>
      <c r="T138" s="341">
        <f>E138*(1+S138)^'GHG Inventories'!$C$12</f>
        <v>626467761.0918504</v>
      </c>
      <c r="U138" s="314"/>
      <c r="V138" s="321"/>
      <c r="W138" s="343">
        <f>T138</f>
        <v>626467761.0918504</v>
      </c>
      <c r="X138" s="322"/>
      <c r="Y138" s="323"/>
      <c r="Z138" s="322"/>
      <c r="AA138" s="324"/>
      <c r="AB138" s="325"/>
      <c r="AC138" s="559"/>
      <c r="AD138" s="783">
        <f>Forecast!$J$50</f>
        <v>1.940866536300323E-3</v>
      </c>
      <c r="AE138" s="188">
        <f>E138*(1+AD138)^'GHG Inventories'!$C$13</f>
        <v>638733410.36136985</v>
      </c>
      <c r="AF138" s="777"/>
      <c r="AG138" s="787"/>
      <c r="AH138" s="188">
        <f>AE138</f>
        <v>638733410.36136985</v>
      </c>
      <c r="AI138" s="777"/>
      <c r="AJ138" s="777"/>
      <c r="AK138" s="777"/>
      <c r="AL138" s="777"/>
      <c r="AM138" s="777"/>
      <c r="AN138" s="905"/>
      <c r="AO138" s="920">
        <f>Forecast!L50</f>
        <v>1.940866536300323E-3</v>
      </c>
      <c r="AP138" s="868">
        <f>E138*(1+AO138)^'GHG Inventories'!$C$14</f>
        <v>644955999.46521568</v>
      </c>
      <c r="AQ138" s="887"/>
      <c r="AR138" s="921"/>
      <c r="AS138" s="582">
        <f>AP138</f>
        <v>644955999.46521568</v>
      </c>
      <c r="AT138" s="889"/>
      <c r="AU138" s="787"/>
      <c r="AV138" s="887"/>
      <c r="AW138" s="913"/>
      <c r="AX138" s="904"/>
      <c r="AY138" s="905"/>
      <c r="AZ138" s="926">
        <f>Forecast!N50</f>
        <v>1.940866536300323E-3</v>
      </c>
      <c r="BA138" s="564">
        <f>E138*(1+AZ138)^'GHG Inventories'!$C$15</f>
        <v>651239209.50187504</v>
      </c>
      <c r="BB138" s="887"/>
      <c r="BC138" s="921"/>
      <c r="BD138" s="582">
        <f>BA138</f>
        <v>651239209.50187504</v>
      </c>
      <c r="BE138" s="887"/>
      <c r="BF138" s="888"/>
      <c r="BG138" s="887"/>
      <c r="BH138" s="913"/>
      <c r="BI138" s="928"/>
      <c r="BJ138" s="913"/>
    </row>
    <row r="139" spans="2:62">
      <c r="B139" s="1122"/>
      <c r="C139" s="186" t="s">
        <v>305</v>
      </c>
      <c r="D139" s="486" t="s">
        <v>318</v>
      </c>
      <c r="E139" s="534">
        <v>10062532.414711593</v>
      </c>
      <c r="F139" s="187">
        <f>'GHG Inventories'!D64</f>
        <v>89900.297815495302</v>
      </c>
      <c r="G139" s="196">
        <f t="shared" si="14"/>
        <v>8.9341623072994574E-3</v>
      </c>
      <c r="H139" s="379">
        <f>Forecast!F50</f>
        <v>1.940866536300323E-3</v>
      </c>
      <c r="I139" s="188">
        <f>E139*(1+H139)^'GHG Inventories'!$C$11</f>
        <v>10121236.301142167</v>
      </c>
      <c r="J139" s="188">
        <f>F139*(1+H139)^'GHG Inventories'!$C$11</f>
        <v>90424.767864935333</v>
      </c>
      <c r="K139" s="189">
        <f t="shared" si="11"/>
        <v>8.9341623072994574E-3</v>
      </c>
      <c r="L139" s="190">
        <f>I139*(1-'State Policies + Assumptions'!$C$11)</f>
        <v>9444993.552398894</v>
      </c>
      <c r="M139" s="191">
        <f t="shared" si="16"/>
        <v>-6041.6624764067301</v>
      </c>
      <c r="N139" s="197">
        <f t="shared" si="35"/>
        <v>8.9341623072994574E-3</v>
      </c>
      <c r="O139" s="191">
        <v>0</v>
      </c>
      <c r="P139" s="192">
        <f t="shared" si="12"/>
        <v>84383.105388528609</v>
      </c>
      <c r="Q139" s="190">
        <v>0</v>
      </c>
      <c r="R139" s="193">
        <f t="shared" si="31"/>
        <v>84383.105388528609</v>
      </c>
      <c r="S139" s="379">
        <f>Forecast!H50</f>
        <v>1.940866536300323E-3</v>
      </c>
      <c r="T139" s="188">
        <f>E139*(1+S139)^'GHG Inventories'!$C$12</f>
        <v>10319400.584053347</v>
      </c>
      <c r="U139" s="188">
        <f>F139*(1+S139)^'GHG Inventories'!$C$12</f>
        <v>92195.199731973407</v>
      </c>
      <c r="V139" s="194">
        <f t="shared" si="13"/>
        <v>8.9341623072994557E-3</v>
      </c>
      <c r="W139" s="190">
        <f>T139*(1-'State Policies + Assumptions'!$C$12)</f>
        <v>7511317.8510461962</v>
      </c>
      <c r="X139" s="191">
        <f t="shared" si="27"/>
        <v>-25087.866909010925</v>
      </c>
      <c r="Y139" s="197">
        <f>V139</f>
        <v>8.9341623072994557E-3</v>
      </c>
      <c r="Z139" s="191">
        <v>0</v>
      </c>
      <c r="AA139" s="195">
        <f t="shared" si="28"/>
        <v>67107.332822962489</v>
      </c>
      <c r="AB139" s="190">
        <v>0</v>
      </c>
      <c r="AC139" s="560">
        <f t="shared" si="32"/>
        <v>67107.332822962489</v>
      </c>
      <c r="AD139" s="783">
        <f>Forecast!$J$50</f>
        <v>1.940866536300323E-3</v>
      </c>
      <c r="AE139" s="188">
        <f>E139*(1+AD139)^'GHG Inventories'!$C$13</f>
        <v>10521444.737155607</v>
      </c>
      <c r="AF139" s="188">
        <f>F139*(1+AD139)^'GHG Inventories'!$C$13</f>
        <v>94000.294989029877</v>
      </c>
      <c r="AG139" s="189">
        <f>AF139/AE139</f>
        <v>8.9341623072994574E-3</v>
      </c>
      <c r="AH139" s="188">
        <f>AE139*(1-'State Policies + Assumptions'!$C$13)</f>
        <v>7028043.8743207101</v>
      </c>
      <c r="AI139" s="188">
        <f t="shared" si="18"/>
        <v>-31210.610313026937</v>
      </c>
      <c r="AJ139" s="812">
        <f>AG139</f>
        <v>8.9341623072994574E-3</v>
      </c>
      <c r="AK139" s="188">
        <v>0</v>
      </c>
      <c r="AL139" s="188">
        <f t="shared" si="19"/>
        <v>62789.684676002944</v>
      </c>
      <c r="AM139" s="776">
        <v>0</v>
      </c>
      <c r="AN139" s="560">
        <f t="shared" si="33"/>
        <v>62789.684676002944</v>
      </c>
      <c r="AO139" s="920">
        <f>Forecast!L50</f>
        <v>1.940866536300323E-3</v>
      </c>
      <c r="AP139" s="564">
        <f>E139*(1+AO139)^'GHG Inventories'!$C$14</f>
        <v>10623945.446083767</v>
      </c>
      <c r="AQ139" s="564">
        <f>F139*(1+AO139)^'GHG Inventories'!$C$14</f>
        <v>94916.0529592073</v>
      </c>
      <c r="AR139" s="912">
        <f t="shared" si="20"/>
        <v>8.9341623072994557E-3</v>
      </c>
      <c r="AS139" s="582">
        <f>AP139*(1-'State Policies + Assumptions'!$C$14)</f>
        <v>7006558.8494591592</v>
      </c>
      <c r="AT139" s="578">
        <f>(AS139-AP139)*AR139</f>
        <v>-32318.318982493834</v>
      </c>
      <c r="AU139" s="581">
        <f>AR139</f>
        <v>8.9341623072994557E-3</v>
      </c>
      <c r="AV139" s="564">
        <f t="shared" si="29"/>
        <v>0</v>
      </c>
      <c r="AW139" s="911">
        <f t="shared" si="22"/>
        <v>62597.733976713469</v>
      </c>
      <c r="AX139" s="582">
        <v>0</v>
      </c>
      <c r="AY139" s="883">
        <f t="shared" si="36"/>
        <v>62597.733976713469</v>
      </c>
      <c r="AZ139" s="926">
        <f>Forecast!N50</f>
        <v>1.940866536300323E-3</v>
      </c>
      <c r="BA139" s="564">
        <f>E139*(1+AZ139)^'GHG Inventories'!$C$15</f>
        <v>10727444.72465642</v>
      </c>
      <c r="BB139" s="564">
        <f>F139*(1+AZ139)^'GHG Inventories'!$C$15</f>
        <v>95840.732312663793</v>
      </c>
      <c r="BC139" s="912">
        <f t="shared" si="23"/>
        <v>8.9341623072994574E-3</v>
      </c>
      <c r="BD139" s="582">
        <f>BA139*(1-'State Policies + Assumptions'!$C$15)</f>
        <v>5705602.7641108111</v>
      </c>
      <c r="BE139" s="564">
        <f t="shared" si="24"/>
        <v>-44865.951157121388</v>
      </c>
      <c r="BF139" s="568">
        <f>BC139</f>
        <v>8.9341623072994574E-3</v>
      </c>
      <c r="BG139" s="564">
        <f t="shared" si="25"/>
        <v>0</v>
      </c>
      <c r="BH139" s="911">
        <f t="shared" si="26"/>
        <v>50974.781155542405</v>
      </c>
      <c r="BI139" s="906">
        <v>0</v>
      </c>
      <c r="BJ139" s="911">
        <f>SUM(BH139:BI139)</f>
        <v>50974.781155542405</v>
      </c>
    </row>
    <row r="140" spans="2:62">
      <c r="B140" s="1122"/>
      <c r="C140" s="186" t="s">
        <v>306</v>
      </c>
      <c r="D140" s="486" t="s">
        <v>317</v>
      </c>
      <c r="E140" s="534">
        <v>1191245.1438588614</v>
      </c>
      <c r="F140" s="187">
        <f>'GHG Inventories'!D65</f>
        <v>12174.642616035966</v>
      </c>
      <c r="G140" s="196">
        <f t="shared" si="14"/>
        <v>1.0220098422897258E-2</v>
      </c>
      <c r="H140" s="379">
        <f>Forecast!F50</f>
        <v>1.940866536300323E-3</v>
      </c>
      <c r="I140" s="188">
        <f>E140*(1+H140)^'GHG Inventories'!$C$11</f>
        <v>1198194.758205825</v>
      </c>
      <c r="J140" s="188">
        <f>F140*(1+H140)^'GHG Inventories'!$C$11</f>
        <v>12245.668358663112</v>
      </c>
      <c r="K140" s="189">
        <f t="shared" si="11"/>
        <v>1.0220098422897256E-2</v>
      </c>
      <c r="L140" s="190">
        <f>I140*(1-'State Policies + Assumptions'!$C$22)</f>
        <v>1082566.9358295731</v>
      </c>
      <c r="M140" s="191">
        <f t="shared" si="16"/>
        <v>-1181.7277251105763</v>
      </c>
      <c r="N140" s="197">
        <f t="shared" si="35"/>
        <v>1.0220098422897256E-2</v>
      </c>
      <c r="O140" s="191">
        <v>0</v>
      </c>
      <c r="P140" s="192">
        <f t="shared" si="12"/>
        <v>11063.940633552535</v>
      </c>
      <c r="Q140" s="190">
        <v>0</v>
      </c>
      <c r="R140" s="193">
        <f t="shared" si="31"/>
        <v>11063.940633552535</v>
      </c>
      <c r="S140" s="379">
        <f>Forecast!H50</f>
        <v>1.940866536300323E-3</v>
      </c>
      <c r="T140" s="188">
        <f>E140*(1+S140)^'GHG Inventories'!$C$12</f>
        <v>1221654.2840960559</v>
      </c>
      <c r="U140" s="188">
        <f>F140*(1+S140)^'GHG Inventories'!$C$12</f>
        <v>12485.427022215779</v>
      </c>
      <c r="V140" s="194">
        <f t="shared" si="13"/>
        <v>1.0220098422897258E-2</v>
      </c>
      <c r="W140" s="190">
        <f>T140*(1-'State Policies + Assumptions'!$C$23)</f>
        <v>874832.04845628806</v>
      </c>
      <c r="X140" s="191">
        <f t="shared" si="27"/>
        <v>-3544.5573834876923</v>
      </c>
      <c r="Y140" s="197">
        <f t="shared" ref="Y140:Y148" si="37">V140</f>
        <v>1.0220098422897258E-2</v>
      </c>
      <c r="Z140" s="191">
        <v>0</v>
      </c>
      <c r="AA140" s="195">
        <f t="shared" si="28"/>
        <v>8940.869638728087</v>
      </c>
      <c r="AB140" s="190">
        <v>0</v>
      </c>
      <c r="AC140" s="560">
        <f t="shared" si="32"/>
        <v>8940.869638728087</v>
      </c>
      <c r="AD140" s="783">
        <f>Forecast!$J$50</f>
        <v>1.940866536300323E-3</v>
      </c>
      <c r="AE140" s="188">
        <f>E140*(1+AD140)^'GHG Inventories'!$C$13</f>
        <v>1245573.1254283094</v>
      </c>
      <c r="AF140" s="188">
        <f>F140*(1+AD140)^'GHG Inventories'!$C$13</f>
        <v>12729.879934793073</v>
      </c>
      <c r="AG140" s="189">
        <f t="shared" ref="AG140:AG149" si="38">AF140/AE140</f>
        <v>1.0220098422897258E-2</v>
      </c>
      <c r="AH140" s="188">
        <f>AE140*(1-'State Policies + Assumptions'!$C$24)</f>
        <v>814468.02173945261</v>
      </c>
      <c r="AI140" s="188">
        <f t="shared" si="18"/>
        <v>-4405.936590313444</v>
      </c>
      <c r="AJ140" s="812">
        <f t="shared" ref="AJ140:AJ148" si="39">AG140</f>
        <v>1.0220098422897258E-2</v>
      </c>
      <c r="AK140" s="188">
        <v>0</v>
      </c>
      <c r="AL140" s="188">
        <f t="shared" si="19"/>
        <v>8323.9433444796286</v>
      </c>
      <c r="AM140" s="776">
        <v>0</v>
      </c>
      <c r="AN140" s="560">
        <f t="shared" si="33"/>
        <v>8323.9433444796286</v>
      </c>
      <c r="AO140" s="920">
        <f>Forecast!L50</f>
        <v>1.940866536300323E-3</v>
      </c>
      <c r="AP140" s="564">
        <f>E140*(1+AO140)^'GHG Inventories'!$C$14</f>
        <v>1257707.5928486818</v>
      </c>
      <c r="AQ140" s="564">
        <f>F140*(1+AO140)^'GHG Inventories'!$C$14</f>
        <v>12853.89538613872</v>
      </c>
      <c r="AR140" s="912">
        <f t="shared" si="20"/>
        <v>1.0220098422897258E-2</v>
      </c>
      <c r="AS140" s="582">
        <f>AP140*(1-'State Policies + Assumptions'!$C$25)</f>
        <v>809996.97482595325</v>
      </c>
      <c r="AT140" s="578">
        <f t="shared" ref="AT140:AT145" si="40">(AS140-AP140)*AR140</f>
        <v>-4575.6465811684448</v>
      </c>
      <c r="AU140" s="581">
        <f t="shared" ref="AU140:AU148" si="41">AR140</f>
        <v>1.0220098422897258E-2</v>
      </c>
      <c r="AV140" s="564">
        <f t="shared" si="29"/>
        <v>0</v>
      </c>
      <c r="AW140" s="911">
        <f t="shared" si="22"/>
        <v>8278.2488049702752</v>
      </c>
      <c r="AX140" s="582">
        <v>0</v>
      </c>
      <c r="AY140" s="883">
        <f t="shared" si="36"/>
        <v>8278.2488049702752</v>
      </c>
      <c r="AZ140" s="926">
        <f>Forecast!N50</f>
        <v>1.940866536300323E-3</v>
      </c>
      <c r="BA140" s="564">
        <f>E140*(1+AZ140)^'GHG Inventories'!$C$15</f>
        <v>1269960.2751667348</v>
      </c>
      <c r="BB140" s="564">
        <f>F140*(1+AZ140)^'GHG Inventories'!$C$15</f>
        <v>12979.119005373712</v>
      </c>
      <c r="BC140" s="912">
        <f t="shared" si="23"/>
        <v>1.0220098422897256E-2</v>
      </c>
      <c r="BD140" s="582">
        <f>BA140*(1-'State Policies + Assumptions'!$C$26)</f>
        <v>623969.91712093691</v>
      </c>
      <c r="BE140" s="564">
        <f t="shared" si="24"/>
        <v>-6602.0850394706931</v>
      </c>
      <c r="BF140" s="568">
        <f>BC140</f>
        <v>1.0220098422897256E-2</v>
      </c>
      <c r="BG140" s="564">
        <f t="shared" si="25"/>
        <v>0</v>
      </c>
      <c r="BH140" s="911">
        <f t="shared" si="26"/>
        <v>6377.0339659030187</v>
      </c>
      <c r="BI140" s="906">
        <v>0</v>
      </c>
      <c r="BJ140" s="911">
        <f t="shared" ref="BJ140:BJ148" si="42">SUM(BH140:BI140)</f>
        <v>6377.0339659030187</v>
      </c>
    </row>
    <row r="141" spans="2:62">
      <c r="B141" s="1122"/>
      <c r="C141" s="186" t="s">
        <v>307</v>
      </c>
      <c r="D141" s="486" t="s">
        <v>318</v>
      </c>
      <c r="E141" s="534">
        <v>16807712.982662469</v>
      </c>
      <c r="F141" s="187">
        <f>'GHG Inventories'!D66</f>
        <v>150162.83580161075</v>
      </c>
      <c r="G141" s="196">
        <f t="shared" si="14"/>
        <v>8.9341623072994557E-3</v>
      </c>
      <c r="H141" s="379">
        <f>Forecast!F50</f>
        <v>1.940866536300323E-3</v>
      </c>
      <c r="I141" s="188">
        <f>E141*(1+H141)^'GHG Inventories'!$C$11</f>
        <v>16905767.630680237</v>
      </c>
      <c r="J141" s="188">
        <f>F141*(1+H141)^'GHG Inventories'!$C$11</f>
        <v>151038.87194198661</v>
      </c>
      <c r="K141" s="189">
        <f t="shared" si="11"/>
        <v>8.9341623072994557E-3</v>
      </c>
      <c r="L141" s="190">
        <f>I141*(1-'State Policies + Assumptions'!$C$11)</f>
        <v>15776221.552312702</v>
      </c>
      <c r="M141" s="191">
        <f t="shared" si="16"/>
        <v>-10091.547997709149</v>
      </c>
      <c r="N141" s="197">
        <f t="shared" si="35"/>
        <v>8.9341623072994557E-3</v>
      </c>
      <c r="O141" s="191">
        <v>0</v>
      </c>
      <c r="P141" s="192">
        <f t="shared" si="12"/>
        <v>140947.32394427745</v>
      </c>
      <c r="Q141" s="190">
        <v>0</v>
      </c>
      <c r="R141" s="193">
        <f t="shared" si="31"/>
        <v>140947.32394427745</v>
      </c>
      <c r="S141" s="379">
        <f>Forecast!H50</f>
        <v>1.940866536300323E-3</v>
      </c>
      <c r="T141" s="188">
        <f>E141*(1+S141)^'GHG Inventories'!$C$12</f>
        <v>17236766.652926039</v>
      </c>
      <c r="U141" s="188">
        <f>F141*(1+S141)^'GHG Inventories'!$C$12</f>
        <v>153996.07093028803</v>
      </c>
      <c r="V141" s="194">
        <f t="shared" si="13"/>
        <v>8.9341623072994557E-3</v>
      </c>
      <c r="W141" s="190">
        <f>T141*(1-'State Policies + Assumptions'!$C$12)</f>
        <v>12546352.087011088</v>
      </c>
      <c r="X141" s="191">
        <f>(W141-T141)*V141</f>
        <v>-41904.925020405695</v>
      </c>
      <c r="Y141" s="197">
        <f t="shared" si="37"/>
        <v>8.9341623072994557E-3</v>
      </c>
      <c r="Z141" s="191">
        <v>0</v>
      </c>
      <c r="AA141" s="195">
        <f t="shared" si="28"/>
        <v>112091.14590988233</v>
      </c>
      <c r="AB141" s="190">
        <v>0</v>
      </c>
      <c r="AC141" s="560">
        <f t="shared" si="32"/>
        <v>112091.14590988233</v>
      </c>
      <c r="AD141" s="783">
        <f>Forecast!$J$50</f>
        <v>1.940866536300323E-3</v>
      </c>
      <c r="AE141" s="188">
        <f>E141*(1+AD141)^'GHG Inventories'!$C$13</f>
        <v>17574246.324564468</v>
      </c>
      <c r="AF141" s="188">
        <f>F141*(1+AD141)^'GHG Inventories'!$C$13</f>
        <v>157011.16909211988</v>
      </c>
      <c r="AG141" s="189">
        <f t="shared" si="38"/>
        <v>8.9341623072994557E-3</v>
      </c>
      <c r="AH141" s="188">
        <f>AE141*(1-'State Policies + Assumptions'!$C$13)</f>
        <v>11739126.832172029</v>
      </c>
      <c r="AI141" s="188">
        <f t="shared" si="18"/>
        <v>-52131.904627520868</v>
      </c>
      <c r="AJ141" s="812">
        <f t="shared" si="39"/>
        <v>8.9341623072994557E-3</v>
      </c>
      <c r="AK141" s="188">
        <v>0</v>
      </c>
      <c r="AL141" s="188">
        <f t="shared" si="19"/>
        <v>104879.26446459901</v>
      </c>
      <c r="AM141" s="776">
        <v>0</v>
      </c>
      <c r="AN141" s="560">
        <f t="shared" si="33"/>
        <v>104879.26446459901</v>
      </c>
      <c r="AO141" s="920">
        <f>Forecast!L50</f>
        <v>1.940866536300323E-3</v>
      </c>
      <c r="AP141" s="565">
        <f>E141*(1+AO141)^'GHG Inventories'!$C$14</f>
        <v>17745455.958996568</v>
      </c>
      <c r="AQ141" s="564">
        <f>F141*(1+AO141)^'GHG Inventories'!$C$14</f>
        <v>158540.78375470964</v>
      </c>
      <c r="AR141" s="912">
        <f t="shared" si="20"/>
        <v>8.9341623072994557E-3</v>
      </c>
      <c r="AS141" s="582">
        <f>AP141*(1-'State Policies + Assumptions'!$C$14)</f>
        <v>11703239.829137845</v>
      </c>
      <c r="AT141" s="578">
        <f t="shared" si="40"/>
        <v>-53982.139599940594</v>
      </c>
      <c r="AU141" s="581">
        <f t="shared" si="41"/>
        <v>8.9341623072994557E-3</v>
      </c>
      <c r="AV141" s="564">
        <f t="shared" si="29"/>
        <v>0</v>
      </c>
      <c r="AW141" s="911">
        <f t="shared" si="22"/>
        <v>104558.64415476905</v>
      </c>
      <c r="AX141" s="582">
        <v>0</v>
      </c>
      <c r="AY141" s="883">
        <f t="shared" si="36"/>
        <v>104558.64415476905</v>
      </c>
      <c r="AZ141" s="926">
        <f>Forecast!N50</f>
        <v>1.940866536300323E-3</v>
      </c>
      <c r="BA141" s="564">
        <f>E141*(1+AZ141)^'GHG Inventories'!$C$15</f>
        <v>17918333.530612484</v>
      </c>
      <c r="BB141" s="564">
        <f>F141*(1+AZ141)^'GHG Inventories'!$C$15</f>
        <v>160085.30003881804</v>
      </c>
      <c r="BC141" s="912">
        <f t="shared" si="23"/>
        <v>8.9341623072994557E-3</v>
      </c>
      <c r="BD141" s="582">
        <f>BA141*(1-'State Policies + Assumptions'!$C$15)</f>
        <v>9530218.6070034876</v>
      </c>
      <c r="BE141" s="564">
        <f t="shared" si="24"/>
        <v>-74940.780179803551</v>
      </c>
      <c r="BF141" s="568">
        <f>(BF139/BC139)*BC141</f>
        <v>8.9341623072994557E-3</v>
      </c>
      <c r="BG141" s="564">
        <f t="shared" si="25"/>
        <v>0</v>
      </c>
      <c r="BH141" s="911">
        <f t="shared" si="26"/>
        <v>85144.519859014486</v>
      </c>
      <c r="BI141" s="906">
        <v>0</v>
      </c>
      <c r="BJ141" s="911">
        <f t="shared" si="42"/>
        <v>85144.519859014486</v>
      </c>
    </row>
    <row r="142" spans="2:62">
      <c r="B142" s="1122"/>
      <c r="C142" s="186" t="s">
        <v>308</v>
      </c>
      <c r="D142" s="486" t="s">
        <v>317</v>
      </c>
      <c r="E142" s="534">
        <v>1989768.1463065448</v>
      </c>
      <c r="F142" s="187">
        <f>'GHG Inventories'!D67</f>
        <v>20335.626293998717</v>
      </c>
      <c r="G142" s="196">
        <f t="shared" si="14"/>
        <v>1.0220098422897258E-2</v>
      </c>
      <c r="H142" s="379">
        <f>Forecast!F50</f>
        <v>1.940866536300323E-3</v>
      </c>
      <c r="I142" s="188">
        <f>E142*(1+H142)^'GHG Inventories'!$C$11</f>
        <v>2001376.2702330011</v>
      </c>
      <c r="J142" s="188">
        <f>F142*(1+H142)^'GHG Inventories'!$C$11</f>
        <v>20454.26246303229</v>
      </c>
      <c r="K142" s="189">
        <f t="shared" si="11"/>
        <v>1.0220098422897258E-2</v>
      </c>
      <c r="L142" s="190">
        <f>I142*(1-'State Policies + Assumptions'!$C$22)</f>
        <v>1808240.0723839412</v>
      </c>
      <c r="M142" s="191">
        <f t="shared" si="16"/>
        <v>-1973.8709510415501</v>
      </c>
      <c r="N142" s="197">
        <f t="shared" si="35"/>
        <v>1.0220098422897258E-2</v>
      </c>
      <c r="O142" s="191">
        <v>0</v>
      </c>
      <c r="P142" s="192">
        <f t="shared" si="12"/>
        <v>18480.39151199074</v>
      </c>
      <c r="Q142" s="190">
        <v>0</v>
      </c>
      <c r="R142" s="193">
        <f t="shared" si="31"/>
        <v>18480.39151199074</v>
      </c>
      <c r="S142" s="379">
        <f>Forecast!H50</f>
        <v>1.940866536300323E-3</v>
      </c>
      <c r="T142" s="188">
        <f>E142*(1+S142)^'GHG Inventories'!$C$12</f>
        <v>2040561.3343522348</v>
      </c>
      <c r="U142" s="188">
        <f>F142*(1+S142)^'GHG Inventories'!$C$12</f>
        <v>20854.737675038399</v>
      </c>
      <c r="V142" s="194">
        <f t="shared" si="13"/>
        <v>1.0220098422897258E-2</v>
      </c>
      <c r="W142" s="190">
        <f>T142*(1-'State Policies + Assumptions'!$C$23)</f>
        <v>1461255.0173742115</v>
      </c>
      <c r="X142" s="191">
        <f t="shared" si="27"/>
        <v>-5920.5675765215155</v>
      </c>
      <c r="Y142" s="197">
        <f t="shared" si="37"/>
        <v>1.0220098422897258E-2</v>
      </c>
      <c r="Z142" s="191">
        <v>0</v>
      </c>
      <c r="AA142" s="195">
        <f t="shared" si="28"/>
        <v>14934.170098516883</v>
      </c>
      <c r="AB142" s="190">
        <v>0</v>
      </c>
      <c r="AC142" s="560">
        <f t="shared" si="32"/>
        <v>14934.170098516883</v>
      </c>
      <c r="AD142" s="783">
        <f>Forecast!$J$50</f>
        <v>1.940866536300323E-3</v>
      </c>
      <c r="AE142" s="188">
        <f>E142*(1+AD142)^'GHG Inventories'!$C$13</f>
        <v>2080513.6051546226</v>
      </c>
      <c r="AF142" s="188">
        <f>F142*(1+AD142)^'GHG Inventories'!$C$13</f>
        <v>21263.053814857045</v>
      </c>
      <c r="AG142" s="189">
        <f t="shared" si="38"/>
        <v>1.0220098422897258E-2</v>
      </c>
      <c r="AH142" s="188">
        <f>AE142*(1-'State Policies + Assumptions'!$C$24)</f>
        <v>1360427.3933010702</v>
      </c>
      <c r="AI142" s="188">
        <f t="shared" si="18"/>
        <v>-7359.3519581145511</v>
      </c>
      <c r="AJ142" s="812">
        <f t="shared" si="39"/>
        <v>1.0220098422897258E-2</v>
      </c>
      <c r="AK142" s="188">
        <v>0</v>
      </c>
      <c r="AL142" s="188">
        <f t="shared" si="19"/>
        <v>13903.701856742493</v>
      </c>
      <c r="AM142" s="776">
        <v>0</v>
      </c>
      <c r="AN142" s="560">
        <f t="shared" si="33"/>
        <v>13903.701856742493</v>
      </c>
      <c r="AO142" s="920">
        <f>Forecast!L50</f>
        <v>1.940866536300323E-3</v>
      </c>
      <c r="AP142" s="564">
        <f>E142*(1+AO142)^'GHG Inventories'!$C$14</f>
        <v>2100782.1257609171</v>
      </c>
      <c r="AQ142" s="564">
        <f>F142*(1+AO142)^'GHG Inventories'!$C$14</f>
        <v>21470.200090339898</v>
      </c>
      <c r="AR142" s="912">
        <f t="shared" si="20"/>
        <v>1.0220098422897258E-2</v>
      </c>
      <c r="AS142" s="582">
        <f>AP142*(1-'State Policies + Assumptions'!$C$25)</f>
        <v>1352959.2858548523</v>
      </c>
      <c r="AT142" s="578">
        <f t="shared" si="40"/>
        <v>-7642.8230267305207</v>
      </c>
      <c r="AU142" s="581">
        <f t="shared" si="41"/>
        <v>1.0220098422897258E-2</v>
      </c>
      <c r="AV142" s="564">
        <f t="shared" si="29"/>
        <v>0</v>
      </c>
      <c r="AW142" s="911">
        <f t="shared" si="22"/>
        <v>13827.377063609378</v>
      </c>
      <c r="AX142" s="582">
        <v>0</v>
      </c>
      <c r="AY142" s="883">
        <f t="shared" si="36"/>
        <v>13827.377063609378</v>
      </c>
      <c r="AZ142" s="926">
        <f>Forecast!N50</f>
        <v>1.940866536300323E-3</v>
      </c>
      <c r="BA142" s="564">
        <f>E142*(1+AZ142)^'GHG Inventories'!$C$15</f>
        <v>2121248.103825096</v>
      </c>
      <c r="BB142" s="564">
        <f>F142*(1+AZ142)^'GHG Inventories'!$C$15</f>
        <v>21679.364400476657</v>
      </c>
      <c r="BC142" s="912">
        <f t="shared" si="23"/>
        <v>1.0220098422897256E-2</v>
      </c>
      <c r="BD142" s="582">
        <f>BA142*(1-'State Policies + Assumptions'!$C$26)</f>
        <v>1042233.3906176026</v>
      </c>
      <c r="BE142" s="564">
        <f t="shared" si="24"/>
        <v>-11027.636568734839</v>
      </c>
      <c r="BF142" s="568">
        <f>BC142</f>
        <v>1.0220098422897256E-2</v>
      </c>
      <c r="BG142" s="564">
        <f t="shared" si="25"/>
        <v>0</v>
      </c>
      <c r="BH142" s="911">
        <f t="shared" si="26"/>
        <v>10651.727831741819</v>
      </c>
      <c r="BI142" s="906">
        <v>0</v>
      </c>
      <c r="BJ142" s="911">
        <f t="shared" si="42"/>
        <v>10651.727831741819</v>
      </c>
    </row>
    <row r="143" spans="2:62">
      <c r="B143" s="1122"/>
      <c r="C143" s="186" t="s">
        <v>13</v>
      </c>
      <c r="D143" s="486" t="s">
        <v>317</v>
      </c>
      <c r="E143" s="493">
        <f>F143/0.01027382</f>
        <v>4931884.6213036841</v>
      </c>
      <c r="F143" s="187">
        <f>'GHG Inventories'!D68</f>
        <v>50669.29486004221</v>
      </c>
      <c r="G143" s="196">
        <f t="shared" si="14"/>
        <v>1.0273819999999999E-2</v>
      </c>
      <c r="H143" s="379">
        <f>Forecast!F50</f>
        <v>1.940866536300323E-3</v>
      </c>
      <c r="I143" s="188">
        <f>E143*(1+H143)^'GHG Inventories'!$C$11</f>
        <v>4960656.7815080509</v>
      </c>
      <c r="J143" s="188">
        <f>F143*(1+H143)^'GHG Inventories'!$C$11</f>
        <v>50964.894854993036</v>
      </c>
      <c r="K143" s="189">
        <f t="shared" si="11"/>
        <v>1.0273819999999998E-2</v>
      </c>
      <c r="L143" s="190">
        <f>I143*(1+'State Policies + Assumptions'!C56)</f>
        <v>4823352.6103663491</v>
      </c>
      <c r="M143" s="191">
        <f t="shared" si="16"/>
        <v>-1410.6383395590381</v>
      </c>
      <c r="N143" s="197">
        <f t="shared" si="35"/>
        <v>1.0273819999999998E-2</v>
      </c>
      <c r="O143" s="191">
        <v>0</v>
      </c>
      <c r="P143" s="192">
        <f t="shared" si="12"/>
        <v>49554.256515433997</v>
      </c>
      <c r="Q143" s="190">
        <v>0</v>
      </c>
      <c r="R143" s="193">
        <f t="shared" si="31"/>
        <v>49554.256515433997</v>
      </c>
      <c r="S143" s="379">
        <f>Forecast!H50</f>
        <v>1.940866536300323E-3</v>
      </c>
      <c r="T143" s="188">
        <f>E143*(1+S143)^'GHG Inventories'!$C$12</f>
        <v>5057781.7734188791</v>
      </c>
      <c r="U143" s="188">
        <f>F143*(1+S143)^'GHG Inventories'!$C$12</f>
        <v>51962.739539386341</v>
      </c>
      <c r="V143" s="194">
        <f t="shared" si="13"/>
        <v>1.0273819999999998E-2</v>
      </c>
      <c r="W143" s="190">
        <f>T143*(1+'State Policies + Assumptions'!C57)</f>
        <v>4253051.5434589898</v>
      </c>
      <c r="X143" s="191">
        <f t="shared" si="27"/>
        <v>-8267.6535311665084</v>
      </c>
      <c r="Y143" s="197">
        <f t="shared" si="37"/>
        <v>1.0273819999999998E-2</v>
      </c>
      <c r="Z143" s="191">
        <v>0</v>
      </c>
      <c r="AA143" s="195">
        <f t="shared" si="28"/>
        <v>43695.086008219834</v>
      </c>
      <c r="AB143" s="190">
        <v>0</v>
      </c>
      <c r="AC143" s="560">
        <f t="shared" si="32"/>
        <v>43695.086008219834</v>
      </c>
      <c r="AD143" s="783">
        <f>Forecast!$J$50</f>
        <v>1.940866536300323E-3</v>
      </c>
      <c r="AE143" s="188">
        <f>E143*(1+AD143)^'GHG Inventories'!$C$13</f>
        <v>5156808.381278798</v>
      </c>
      <c r="AF143" s="188">
        <f>F143*(1+AD143)^'GHG Inventories'!$C$13</f>
        <v>52980.121083749735</v>
      </c>
      <c r="AG143" s="189">
        <f t="shared" si="38"/>
        <v>1.0273819999999999E-2</v>
      </c>
      <c r="AH143" s="188">
        <f>AE143*(1+'State Policies + Assumptions'!C58)</f>
        <v>4336322.2906500939</v>
      </c>
      <c r="AI143" s="188">
        <f t="shared" si="18"/>
        <v>-8429.5264076229923</v>
      </c>
      <c r="AJ143" s="812">
        <f t="shared" si="39"/>
        <v>1.0273819999999999E-2</v>
      </c>
      <c r="AK143" s="188">
        <v>0</v>
      </c>
      <c r="AL143" s="188">
        <f t="shared" si="19"/>
        <v>44550.594676126741</v>
      </c>
      <c r="AM143" s="776">
        <v>0</v>
      </c>
      <c r="AN143" s="560">
        <f t="shared" si="33"/>
        <v>44550.594676126741</v>
      </c>
      <c r="AO143" s="920">
        <f>Forecast!L50</f>
        <v>1.940866536300323E-3</v>
      </c>
      <c r="AP143" s="565">
        <f>E143*(1+AO143)^'GHG Inventories'!$C$14</f>
        <v>5207046.397833799</v>
      </c>
      <c r="AQ143" s="564">
        <f>F143*(1+AO143)^'GHG Inventories'!$C$14</f>
        <v>53496.257422992836</v>
      </c>
      <c r="AR143" s="912">
        <f t="shared" si="20"/>
        <v>1.0273819999999999E-2</v>
      </c>
      <c r="AS143" s="582">
        <f>AP143*(1+'State Policies + Assumptions'!C59)</f>
        <v>4378567.0697689718</v>
      </c>
      <c r="AT143" s="578">
        <f t="shared" si="40"/>
        <v>-8511.6474902589835</v>
      </c>
      <c r="AU143" s="581">
        <f t="shared" si="41"/>
        <v>1.0273819999999999E-2</v>
      </c>
      <c r="AV143" s="564">
        <f t="shared" si="29"/>
        <v>0</v>
      </c>
      <c r="AW143" s="911">
        <f t="shared" si="22"/>
        <v>44984.609932733852</v>
      </c>
      <c r="AX143" s="582">
        <v>0</v>
      </c>
      <c r="AY143" s="883">
        <f t="shared" si="36"/>
        <v>44984.609932733852</v>
      </c>
      <c r="AZ143" s="926">
        <f>Forecast!N50</f>
        <v>1.940866536300323E-3</v>
      </c>
      <c r="BA143" s="564">
        <f>E143*(1+AZ143)^'GHG Inventories'!$C$15</f>
        <v>5257773.8369387118</v>
      </c>
      <c r="BB143" s="564">
        <f>F143*(1+AZ143)^'GHG Inventories'!$C$15</f>
        <v>54017.422001417675</v>
      </c>
      <c r="BC143" s="912">
        <f t="shared" si="23"/>
        <v>1.0273819999999999E-2</v>
      </c>
      <c r="BD143" s="582">
        <f>BA143*(1+'State Policies + Assumptions'!C60)</f>
        <v>4421223.4007152226</v>
      </c>
      <c r="BE143" s="564">
        <f t="shared" si="24"/>
        <v>-8594.5686026816074</v>
      </c>
      <c r="BF143" s="568">
        <f t="shared" ref="BF143:BF148" si="43">BC143</f>
        <v>1.0273819999999999E-2</v>
      </c>
      <c r="BG143" s="564">
        <f t="shared" si="25"/>
        <v>0</v>
      </c>
      <c r="BH143" s="911">
        <f t="shared" si="26"/>
        <v>45422.853398736072</v>
      </c>
      <c r="BI143" s="906">
        <v>0</v>
      </c>
      <c r="BJ143" s="911">
        <f t="shared" si="42"/>
        <v>45422.853398736072</v>
      </c>
    </row>
    <row r="144" spans="2:62">
      <c r="B144" s="1122"/>
      <c r="C144" s="186" t="s">
        <v>311</v>
      </c>
      <c r="D144" s="486" t="s">
        <v>317</v>
      </c>
      <c r="E144" s="493">
        <f>F144/0.01027382</f>
        <v>147415.65668841326</v>
      </c>
      <c r="F144" s="187">
        <f>'GHG Inventories'!D69</f>
        <v>1514.5219219985538</v>
      </c>
      <c r="G144" s="196">
        <f t="shared" si="14"/>
        <v>1.0273819999999999E-2</v>
      </c>
      <c r="H144" s="379">
        <f>Forecast!F50</f>
        <v>1.940866536300323E-3</v>
      </c>
      <c r="I144" s="188">
        <f>E144*(1+H144)^'GHG Inventories'!$C$11</f>
        <v>148275.66603910844</v>
      </c>
      <c r="J144" s="188">
        <f>F144*(1+H144)^'GHG Inventories'!$C$11</f>
        <v>1523.357503265913</v>
      </c>
      <c r="K144" s="189">
        <f t="shared" si="11"/>
        <v>1.0273819999999999E-2</v>
      </c>
      <c r="L144" s="190">
        <f t="shared" ref="L144:L149" si="44">I144</f>
        <v>148275.66603910844</v>
      </c>
      <c r="M144" s="191">
        <f t="shared" si="16"/>
        <v>0</v>
      </c>
      <c r="N144" s="197">
        <f t="shared" si="35"/>
        <v>1.0273819999999999E-2</v>
      </c>
      <c r="O144" s="191">
        <v>0</v>
      </c>
      <c r="P144" s="192">
        <f t="shared" si="12"/>
        <v>1523.357503265913</v>
      </c>
      <c r="Q144" s="190">
        <v>0</v>
      </c>
      <c r="R144" s="193">
        <f t="shared" si="31"/>
        <v>1523.357503265913</v>
      </c>
      <c r="S144" s="379">
        <f>Forecast!H50</f>
        <v>1.940866536300323E-3</v>
      </c>
      <c r="T144" s="188">
        <f>E144*(1+S144)^'GHG Inventories'!$C$12</f>
        <v>151178.76405594868</v>
      </c>
      <c r="U144" s="188">
        <f>F144*(1+S144)^'GHG Inventories'!$C$12</f>
        <v>1553.1834097332867</v>
      </c>
      <c r="V144" s="194">
        <f t="shared" si="13"/>
        <v>1.0273820000000001E-2</v>
      </c>
      <c r="W144" s="190">
        <f>T144*(1+'State Policies + Assumptions'!D242)</f>
        <v>16428.699268411983</v>
      </c>
      <c r="X144" s="191">
        <f t="shared" si="27"/>
        <v>-1384.3979106154902</v>
      </c>
      <c r="Y144" s="197">
        <f t="shared" si="37"/>
        <v>1.0273820000000001E-2</v>
      </c>
      <c r="Z144" s="191">
        <v>0</v>
      </c>
      <c r="AA144" s="195">
        <f t="shared" si="28"/>
        <v>168.78549911779646</v>
      </c>
      <c r="AB144" s="190">
        <v>0</v>
      </c>
      <c r="AC144" s="560">
        <f t="shared" si="32"/>
        <v>168.78549911779646</v>
      </c>
      <c r="AD144" s="783">
        <f>Forecast!$J$50</f>
        <v>1.940866536300323E-3</v>
      </c>
      <c r="AE144" s="188">
        <f>E144*(1+AD144)^'GHG Inventories'!$C$13</f>
        <v>154138.70200020602</v>
      </c>
      <c r="AF144" s="188">
        <f>F144*(1+AD144)^'GHG Inventories'!$C$13</f>
        <v>1583.5932793837565</v>
      </c>
      <c r="AG144" s="189">
        <f t="shared" si="38"/>
        <v>1.0273819999999999E-2</v>
      </c>
      <c r="AH144" s="188">
        <f>AE144*(1+'State Policies + Assumptions'!D243)</f>
        <v>3946.7824426346319</v>
      </c>
      <c r="AI144" s="188">
        <f t="shared" si="18"/>
        <v>-1543.044746988968</v>
      </c>
      <c r="AJ144" s="812">
        <f t="shared" si="39"/>
        <v>1.0273819999999999E-2</v>
      </c>
      <c r="AK144" s="188">
        <v>0</v>
      </c>
      <c r="AL144" s="188">
        <f t="shared" si="19"/>
        <v>40.548532394788481</v>
      </c>
      <c r="AM144" s="776">
        <v>0</v>
      </c>
      <c r="AN144" s="560">
        <f t="shared" si="33"/>
        <v>40.548532394788481</v>
      </c>
      <c r="AO144" s="920">
        <f>Forecast!L50</f>
        <v>1.940866536300323E-3</v>
      </c>
      <c r="AP144" s="868">
        <f>E144*(1+AO144)^'GHG Inventories'!$C$14</f>
        <v>155640.33287153431</v>
      </c>
      <c r="AQ144" s="564">
        <f>F144*(1+AO144)^'GHG Inventories'!$C$14</f>
        <v>1599.0207646622264</v>
      </c>
      <c r="AR144" s="912">
        <f t="shared" si="20"/>
        <v>1.0273819999999998E-2</v>
      </c>
      <c r="AS144" s="582">
        <f>AP144*(1+'State Policies + Assumptions'!D243)</f>
        <v>3985.2322951464866</v>
      </c>
      <c r="AT144" s="578">
        <f t="shared" si="40"/>
        <v>-1558.0772054037045</v>
      </c>
      <c r="AU144" s="581">
        <f t="shared" si="41"/>
        <v>1.0273819999999998E-2</v>
      </c>
      <c r="AV144" s="564">
        <f t="shared" si="29"/>
        <v>0</v>
      </c>
      <c r="AW144" s="911">
        <f t="shared" si="22"/>
        <v>40.943559258521873</v>
      </c>
      <c r="AX144" s="582">
        <v>0</v>
      </c>
      <c r="AY144" s="883">
        <f t="shared" si="36"/>
        <v>40.943559258521873</v>
      </c>
      <c r="AZ144" s="926">
        <f>Forecast!N50</f>
        <v>1.940866536300323E-3</v>
      </c>
      <c r="BA144" s="564">
        <f>E144*(1+AZ144)^'GHG Inventories'!$C$15</f>
        <v>157156.59274417412</v>
      </c>
      <c r="BB144" s="564">
        <f>F144*(1+AZ144)^'GHG Inventories'!$C$15</f>
        <v>1614.5985456669509</v>
      </c>
      <c r="BC144" s="912">
        <f t="shared" si="23"/>
        <v>1.0273819999999999E-2</v>
      </c>
      <c r="BD144" s="582">
        <f>BA144*(1+'State Policies + Assumptions'!D244)</f>
        <v>4024.0567290242175</v>
      </c>
      <c r="BE144" s="564">
        <f t="shared" si="24"/>
        <v>-1573.2561111631674</v>
      </c>
      <c r="BF144" s="568">
        <f t="shared" si="43"/>
        <v>1.0273819999999999E-2</v>
      </c>
      <c r="BG144" s="564">
        <f t="shared" si="25"/>
        <v>0</v>
      </c>
      <c r="BH144" s="911">
        <f t="shared" si="26"/>
        <v>41.342434503783579</v>
      </c>
      <c r="BI144" s="906">
        <v>0</v>
      </c>
      <c r="BJ144" s="911">
        <f t="shared" si="42"/>
        <v>41.342434503783579</v>
      </c>
    </row>
    <row r="145" spans="2:62" ht="16" thickBot="1">
      <c r="B145" s="1123"/>
      <c r="C145" s="326" t="s">
        <v>21</v>
      </c>
      <c r="D145" s="483" t="s">
        <v>317</v>
      </c>
      <c r="E145" s="490">
        <f>F145/0.01027382</f>
        <v>18940.500191043204</v>
      </c>
      <c r="F145" s="327">
        <f>'GHG Inventories'!D70</f>
        <v>194.59128967274347</v>
      </c>
      <c r="G145" s="328">
        <f t="shared" si="14"/>
        <v>1.0273819999999999E-2</v>
      </c>
      <c r="H145" s="378">
        <f>Forecast!F50</f>
        <v>1.940866536300323E-3</v>
      </c>
      <c r="I145" s="329">
        <f>E145*(1+H145)^'GHG Inventories'!$C$11</f>
        <v>19050.99732301047</v>
      </c>
      <c r="J145" s="329">
        <f>F145*(1+H145)^'GHG Inventories'!$C$11</f>
        <v>195.72651731709141</v>
      </c>
      <c r="K145" s="330">
        <f t="shared" si="11"/>
        <v>1.0273819999999999E-2</v>
      </c>
      <c r="L145" s="331">
        <f t="shared" si="44"/>
        <v>19050.99732301047</v>
      </c>
      <c r="M145" s="332">
        <f t="shared" si="16"/>
        <v>0</v>
      </c>
      <c r="N145" s="333">
        <f t="shared" si="35"/>
        <v>1.0273819999999999E-2</v>
      </c>
      <c r="O145" s="332">
        <v>0</v>
      </c>
      <c r="P145" s="334">
        <f t="shared" si="12"/>
        <v>195.72651731709141</v>
      </c>
      <c r="Q145" s="331">
        <v>0</v>
      </c>
      <c r="R145" s="335">
        <f t="shared" si="31"/>
        <v>195.72651731709141</v>
      </c>
      <c r="S145" s="378">
        <f>Forecast!H50</f>
        <v>1.940866536300323E-3</v>
      </c>
      <c r="T145" s="329">
        <f>E145*(1+S145)^'GHG Inventories'!$C$12</f>
        <v>19423.9979240172</v>
      </c>
      <c r="U145" s="329">
        <f>F145*(1+S145)^'GHG Inventories'!$C$12</f>
        <v>199.55865835172636</v>
      </c>
      <c r="V145" s="336">
        <f t="shared" si="13"/>
        <v>1.0273819999999999E-2</v>
      </c>
      <c r="W145" s="331">
        <f>T145</f>
        <v>19423.9979240172</v>
      </c>
      <c r="X145" s="791">
        <f t="shared" si="27"/>
        <v>0</v>
      </c>
      <c r="Y145" s="792">
        <f t="shared" si="37"/>
        <v>1.0273819999999999E-2</v>
      </c>
      <c r="Z145" s="791">
        <v>0</v>
      </c>
      <c r="AA145" s="793">
        <f t="shared" si="28"/>
        <v>199.55865835172636</v>
      </c>
      <c r="AB145" s="794">
        <v>0</v>
      </c>
      <c r="AC145" s="795">
        <f t="shared" si="32"/>
        <v>199.55865835172636</v>
      </c>
      <c r="AD145" s="796">
        <f>Forecast!$J$50</f>
        <v>1.940866536300323E-3</v>
      </c>
      <c r="AE145" s="789">
        <f>E145*(1+AD145)^'GHG Inventories'!$C$13</f>
        <v>19804.301525806117</v>
      </c>
      <c r="AF145" s="789">
        <f>F145*(1+AD145)^'GHG Inventories'!$C$13</f>
        <v>203.46582910185737</v>
      </c>
      <c r="AG145" s="788">
        <f t="shared" si="38"/>
        <v>1.0273819999999998E-2</v>
      </c>
      <c r="AH145" s="789">
        <f>AE145</f>
        <v>19804.301525806117</v>
      </c>
      <c r="AI145" s="789">
        <f t="shared" si="18"/>
        <v>0</v>
      </c>
      <c r="AJ145" s="813">
        <f t="shared" si="39"/>
        <v>1.0273819999999998E-2</v>
      </c>
      <c r="AK145" s="789">
        <v>0</v>
      </c>
      <c r="AL145" s="789">
        <f t="shared" si="19"/>
        <v>203.46582910185737</v>
      </c>
      <c r="AM145" s="797">
        <v>0</v>
      </c>
      <c r="AN145" s="795">
        <f t="shared" si="33"/>
        <v>203.46582910185737</v>
      </c>
      <c r="AO145" s="920">
        <f>Forecast!L50</f>
        <v>1.940866536300323E-3</v>
      </c>
      <c r="AP145" s="868">
        <f>E145*(1+AO145)^'GHG Inventories'!$C$14</f>
        <v>19997.236526362984</v>
      </c>
      <c r="AQ145" s="564">
        <f>F145*(1+AO145)^'GHG Inventories'!$C$14</f>
        <v>205.44800856927853</v>
      </c>
      <c r="AR145" s="912">
        <f t="shared" si="20"/>
        <v>1.0273819999999999E-2</v>
      </c>
      <c r="AS145" s="582">
        <f>AP145</f>
        <v>19997.236526362984</v>
      </c>
      <c r="AT145" s="578">
        <f t="shared" si="40"/>
        <v>0</v>
      </c>
      <c r="AU145" s="581">
        <f t="shared" si="41"/>
        <v>1.0273819999999999E-2</v>
      </c>
      <c r="AV145" s="564">
        <f t="shared" si="29"/>
        <v>0</v>
      </c>
      <c r="AW145" s="911">
        <f t="shared" si="22"/>
        <v>205.44800856927853</v>
      </c>
      <c r="AX145" s="582">
        <v>0</v>
      </c>
      <c r="AY145" s="883">
        <f t="shared" si="36"/>
        <v>205.44800856927853</v>
      </c>
      <c r="AZ145" s="926">
        <f>Forecast!N50</f>
        <v>1.940866536300323E-3</v>
      </c>
      <c r="BA145" s="564">
        <f>E145*(1+AZ145)^'GHG Inventories'!$C$15</f>
        <v>20192.051114260572</v>
      </c>
      <c r="BB145" s="564">
        <f>F145*(1+AZ145)^'GHG Inventories'!$C$15</f>
        <v>207.44949857871254</v>
      </c>
      <c r="BC145" s="912">
        <f t="shared" si="23"/>
        <v>1.0273819999999999E-2</v>
      </c>
      <c r="BD145" s="582">
        <f>BA145</f>
        <v>20192.051114260572</v>
      </c>
      <c r="BE145" s="564">
        <v>0</v>
      </c>
      <c r="BF145" s="568">
        <f t="shared" si="43"/>
        <v>1.0273819999999999E-2</v>
      </c>
      <c r="BG145" s="564">
        <f t="shared" si="25"/>
        <v>0</v>
      </c>
      <c r="BH145" s="911">
        <f t="shared" si="26"/>
        <v>207.44949857871254</v>
      </c>
      <c r="BI145" s="906">
        <v>0</v>
      </c>
      <c r="BJ145" s="911">
        <f t="shared" si="42"/>
        <v>207.44949857871254</v>
      </c>
    </row>
    <row r="146" spans="2:62" ht="16" thickBot="1">
      <c r="B146" s="199" t="s">
        <v>5</v>
      </c>
      <c r="C146" s="413" t="s">
        <v>33</v>
      </c>
      <c r="D146" s="484" t="s">
        <v>319</v>
      </c>
      <c r="E146" s="533">
        <v>64217.61</v>
      </c>
      <c r="F146" s="370">
        <f>'GHG Inventories'!D71</f>
        <v>9994.9251468150014</v>
      </c>
      <c r="G146" s="414">
        <f t="shared" si="14"/>
        <v>0.15564150000000002</v>
      </c>
      <c r="H146" s="415">
        <f>Forecast!F51</f>
        <v>5.5901446822717027E-3</v>
      </c>
      <c r="I146" s="416">
        <f>E146*(1+H146)^'GHG Inventories'!$C$11</f>
        <v>65300.598757878121</v>
      </c>
      <c r="J146" s="416">
        <f>F146*(1+H146)^'GHG Inventories'!$C$11</f>
        <v>10163.48314157429</v>
      </c>
      <c r="K146" s="417">
        <f t="shared" si="11"/>
        <v>0.15564150000000004</v>
      </c>
      <c r="L146" s="418">
        <f t="shared" si="44"/>
        <v>65300.598757878121</v>
      </c>
      <c r="M146" s="419">
        <f t="shared" si="16"/>
        <v>0</v>
      </c>
      <c r="N146" s="439">
        <f t="shared" si="35"/>
        <v>0.15564150000000004</v>
      </c>
      <c r="O146" s="419">
        <v>0</v>
      </c>
      <c r="P146" s="421">
        <f t="shared" si="12"/>
        <v>10163.48314157429</v>
      </c>
      <c r="Q146" s="418">
        <v>0</v>
      </c>
      <c r="R146" s="422">
        <f t="shared" si="31"/>
        <v>10163.48314157429</v>
      </c>
      <c r="S146" s="415">
        <f>Forecast!H51</f>
        <v>4.7941428184399282E-3</v>
      </c>
      <c r="T146" s="416">
        <f>E146*(1+S146)^'GHG Inventories'!$C$12</f>
        <v>68337.072591378354</v>
      </c>
      <c r="U146" s="416">
        <f>F146*(1+S146)^'GHG Inventories'!$C$12</f>
        <v>10636.084483731014</v>
      </c>
      <c r="V146" s="423">
        <f t="shared" si="13"/>
        <v>0.15564150000000002</v>
      </c>
      <c r="W146" s="790" t="s">
        <v>27</v>
      </c>
      <c r="X146" s="432">
        <f>-'State Policies + Assumptions'!C218</f>
        <v>-8063.6413826272637</v>
      </c>
      <c r="Y146" s="434">
        <f t="shared" si="37"/>
        <v>0.15564150000000002</v>
      </c>
      <c r="Z146" s="433">
        <v>0</v>
      </c>
      <c r="AA146" s="438">
        <f t="shared" si="28"/>
        <v>2572.4431011037505</v>
      </c>
      <c r="AB146" s="432">
        <v>0</v>
      </c>
      <c r="AC146" s="558">
        <f t="shared" si="32"/>
        <v>2572.4431011037505</v>
      </c>
      <c r="AD146" s="804">
        <f>Forecast!J51</f>
        <v>4.9964430479310096E-3</v>
      </c>
      <c r="AE146" s="430">
        <f>E146*(1+AD146)^'GHG Inventories'!$C$13</f>
        <v>72017.527282863128</v>
      </c>
      <c r="AF146" s="430">
        <f>F146*(1+AD146)^'GHG Inventories'!$C$13</f>
        <v>11208.915972595742</v>
      </c>
      <c r="AG146" s="431">
        <f t="shared" si="38"/>
        <v>0.15564149999999999</v>
      </c>
      <c r="AH146" s="430" t="s">
        <v>27</v>
      </c>
      <c r="AI146" s="430">
        <f>-'State Policies + Assumptions'!C219</f>
        <v>-8636.4728714919911</v>
      </c>
      <c r="AJ146" s="815">
        <f t="shared" si="39"/>
        <v>0.15564149999999999</v>
      </c>
      <c r="AK146" s="430">
        <v>0</v>
      </c>
      <c r="AL146" s="430">
        <f t="shared" si="19"/>
        <v>2572.4431011037505</v>
      </c>
      <c r="AM146" s="805">
        <v>0</v>
      </c>
      <c r="AN146" s="558">
        <f t="shared" si="33"/>
        <v>2572.4431011037505</v>
      </c>
      <c r="AO146" s="920">
        <f>Forecast!L51</f>
        <v>5.3537554888158922E-3</v>
      </c>
      <c r="AP146" s="868">
        <f>E146*(1+AO146)^'GHG Inventories'!$C$14</f>
        <v>74573.317917721506</v>
      </c>
      <c r="AQ146" s="564">
        <f>F146*(1+AO146)^'GHG Inventories'!$C$14</f>
        <v>11606.703060691052</v>
      </c>
      <c r="AR146" s="912">
        <f t="shared" si="20"/>
        <v>0.15564150000000002</v>
      </c>
      <c r="AS146" s="582" t="s">
        <v>27</v>
      </c>
      <c r="AT146" s="564">
        <f>-'State Policies + Assumptions'!C220</f>
        <v>-9034.2599595873016</v>
      </c>
      <c r="AU146" s="581">
        <f t="shared" si="41"/>
        <v>0.15564150000000002</v>
      </c>
      <c r="AV146" s="564">
        <v>0</v>
      </c>
      <c r="AW146" s="911">
        <f t="shared" si="22"/>
        <v>2572.4431011037505</v>
      </c>
      <c r="AX146" s="582">
        <v>0</v>
      </c>
      <c r="AY146" s="883">
        <f t="shared" si="36"/>
        <v>2572.4431011037505</v>
      </c>
      <c r="AZ146" s="926">
        <f>Forecast!N51</f>
        <v>5.6543021227175583E-3</v>
      </c>
      <c r="BA146" s="564">
        <f>E146*(1+AZ146)^'GHG Inventories'!$C$15</f>
        <v>77350.256927480834</v>
      </c>
      <c r="BB146" s="564">
        <f>F146*(1+AZ146)^'GHG Inventories'!$C$15</f>
        <v>12038.91001357851</v>
      </c>
      <c r="BC146" s="912">
        <f t="shared" si="23"/>
        <v>0.15564150000000002</v>
      </c>
      <c r="BD146" s="582" t="s">
        <v>27</v>
      </c>
      <c r="BE146" s="564">
        <f>-'State Policies + Assumptions'!C221</f>
        <v>-9466.4669124747597</v>
      </c>
      <c r="BF146" s="568">
        <f t="shared" si="43"/>
        <v>0.15564150000000002</v>
      </c>
      <c r="BG146" s="564">
        <v>0</v>
      </c>
      <c r="BH146" s="911">
        <f t="shared" si="26"/>
        <v>2572.4431011037505</v>
      </c>
      <c r="BI146" s="906">
        <v>0</v>
      </c>
      <c r="BJ146" s="911">
        <f t="shared" si="42"/>
        <v>2572.4431011037505</v>
      </c>
    </row>
    <row r="147" spans="2:62" ht="16" thickBot="1">
      <c r="B147" s="425" t="s">
        <v>15</v>
      </c>
      <c r="C147" s="426" t="s">
        <v>14</v>
      </c>
      <c r="D147" s="485" t="s">
        <v>319</v>
      </c>
      <c r="E147" s="535">
        <v>102055.32</v>
      </c>
      <c r="F147" s="427">
        <f>'GHG Inventories'!D72</f>
        <v>283.71026250000006</v>
      </c>
      <c r="G147" s="428">
        <f t="shared" si="14"/>
        <v>2.7799654393323154E-3</v>
      </c>
      <c r="H147" s="429">
        <f>Forecast!F51</f>
        <v>5.5901446822717027E-3</v>
      </c>
      <c r="I147" s="430">
        <f>E147*(1+H147)^'GHG Inventories'!$C$11</f>
        <v>103776.4174410548</v>
      </c>
      <c r="J147" s="430">
        <f>F147*(1+H147)^'GHG Inventories'!$C$11</f>
        <v>288.49485390385564</v>
      </c>
      <c r="K147" s="431">
        <f t="shared" si="11"/>
        <v>2.779965439332315E-3</v>
      </c>
      <c r="L147" s="432">
        <f t="shared" si="44"/>
        <v>103776.4174410548</v>
      </c>
      <c r="M147" s="433">
        <f t="shared" si="16"/>
        <v>0</v>
      </c>
      <c r="N147" s="434">
        <f t="shared" si="35"/>
        <v>2.779965439332315E-3</v>
      </c>
      <c r="O147" s="433">
        <v>0</v>
      </c>
      <c r="P147" s="435">
        <f t="shared" si="12"/>
        <v>288.49485390385564</v>
      </c>
      <c r="Q147" s="432">
        <v>0</v>
      </c>
      <c r="R147" s="436">
        <f t="shared" si="31"/>
        <v>288.49485390385564</v>
      </c>
      <c r="S147" s="429">
        <f>Forecast!H51</f>
        <v>4.7941428184399282E-3</v>
      </c>
      <c r="T147" s="430">
        <f>E147*(1+S147)^'GHG Inventories'!$C$12</f>
        <v>108602.01448132914</v>
      </c>
      <c r="U147" s="430">
        <f>F147*(1+S147)^'GHG Inventories'!$C$12</f>
        <v>301.90984689996264</v>
      </c>
      <c r="V147" s="437">
        <f t="shared" si="13"/>
        <v>2.7799654393323154E-3</v>
      </c>
      <c r="W147" s="432">
        <f>T147</f>
        <v>108602.01448132914</v>
      </c>
      <c r="X147" s="798">
        <f>(W147-T147)*V147</f>
        <v>0</v>
      </c>
      <c r="Y147" s="799">
        <f t="shared" si="37"/>
        <v>2.7799654393323154E-3</v>
      </c>
      <c r="Z147" s="798">
        <v>0</v>
      </c>
      <c r="AA147" s="800">
        <f t="shared" si="28"/>
        <v>301.90984689996264</v>
      </c>
      <c r="AB147" s="801">
        <v>0</v>
      </c>
      <c r="AC147" s="802">
        <f t="shared" si="32"/>
        <v>301.90984689996264</v>
      </c>
      <c r="AD147" s="803">
        <f>Forecast!J51</f>
        <v>4.9964430479310096E-3</v>
      </c>
      <c r="AE147" s="785">
        <f>E147*(1+AD147)^'GHG Inventories'!$C$13</f>
        <v>114451.03286250184</v>
      </c>
      <c r="AF147" s="785">
        <f>F147*(1+AD147)^'GHG Inventories'!$C$13</f>
        <v>318.16991585364218</v>
      </c>
      <c r="AG147" s="786">
        <f t="shared" si="38"/>
        <v>2.779965439332315E-3</v>
      </c>
      <c r="AH147" s="785">
        <f>AE147</f>
        <v>114451.03286250184</v>
      </c>
      <c r="AI147" s="785">
        <f t="shared" si="18"/>
        <v>0</v>
      </c>
      <c r="AJ147" s="814">
        <f t="shared" si="39"/>
        <v>2.779965439332315E-3</v>
      </c>
      <c r="AK147" s="785">
        <v>0</v>
      </c>
      <c r="AL147" s="785">
        <f t="shared" si="19"/>
        <v>318.16991585364218</v>
      </c>
      <c r="AM147" s="780">
        <v>0</v>
      </c>
      <c r="AN147" s="918">
        <f t="shared" si="33"/>
        <v>318.16991585364218</v>
      </c>
      <c r="AO147" s="920">
        <f>Forecast!L51</f>
        <v>5.3537554888158922E-3</v>
      </c>
      <c r="AP147" s="564">
        <f>E147*(1+AO147)^'GHG Inventories'!$C$14</f>
        <v>118512.72296734186</v>
      </c>
      <c r="AQ147" s="564">
        <f>F147*(1+AO147)^'GHG Inventories'!$C$14</f>
        <v>329.46127397037549</v>
      </c>
      <c r="AR147" s="912">
        <f t="shared" si="20"/>
        <v>2.7799654393323154E-3</v>
      </c>
      <c r="AS147" s="582">
        <f>AP147</f>
        <v>118512.72296734186</v>
      </c>
      <c r="AT147" s="578">
        <f>(AS147-AP147)*AR147</f>
        <v>0</v>
      </c>
      <c r="AU147" s="581">
        <f t="shared" si="41"/>
        <v>2.7799654393323154E-3</v>
      </c>
      <c r="AV147" s="564">
        <f t="shared" si="29"/>
        <v>0</v>
      </c>
      <c r="AW147" s="911">
        <f t="shared" si="22"/>
        <v>329.46127397037549</v>
      </c>
      <c r="AX147" s="582">
        <v>0</v>
      </c>
      <c r="AY147" s="883">
        <f t="shared" si="36"/>
        <v>329.46127397037549</v>
      </c>
      <c r="AZ147" s="926">
        <f>Forecast!N51</f>
        <v>5.6543021227175583E-3</v>
      </c>
      <c r="BA147" s="564">
        <f>E147*(1+AZ147)^'GHG Inventories'!$C$15</f>
        <v>122925.86446017337</v>
      </c>
      <c r="BB147" s="564">
        <f>F147*(1+AZ147)^'GHG Inventories'!$C$15</f>
        <v>341.72965479933049</v>
      </c>
      <c r="BC147" s="912">
        <f t="shared" si="23"/>
        <v>2.779965439332315E-3</v>
      </c>
      <c r="BD147" s="582">
        <f>BA147</f>
        <v>122925.86446017337</v>
      </c>
      <c r="BE147" s="564">
        <f t="shared" si="24"/>
        <v>0</v>
      </c>
      <c r="BF147" s="568">
        <f t="shared" si="43"/>
        <v>2.779965439332315E-3</v>
      </c>
      <c r="BG147" s="564">
        <f t="shared" si="25"/>
        <v>0</v>
      </c>
      <c r="BH147" s="911">
        <f t="shared" si="26"/>
        <v>341.72965479933049</v>
      </c>
      <c r="BI147" s="906">
        <v>0</v>
      </c>
      <c r="BJ147" s="911">
        <f t="shared" si="42"/>
        <v>341.72965479933049</v>
      </c>
    </row>
    <row r="148" spans="2:62" ht="16" thickBot="1">
      <c r="B148" s="199" t="s">
        <v>25</v>
      </c>
      <c r="C148" s="413" t="s">
        <v>31</v>
      </c>
      <c r="D148" s="484" t="s">
        <v>27</v>
      </c>
      <c r="E148" s="491" t="s">
        <v>27</v>
      </c>
      <c r="F148" s="370">
        <f>'GHG Inventories'!D73</f>
        <v>1891.97949094111</v>
      </c>
      <c r="G148" s="414" t="s">
        <v>27</v>
      </c>
      <c r="H148" s="415">
        <f>Forecast!F51</f>
        <v>5.5901446822717027E-3</v>
      </c>
      <c r="I148" s="416" t="s">
        <v>27</v>
      </c>
      <c r="J148" s="416">
        <f>F148*(1+H148)^'GHG Inventories'!$C$11</f>
        <v>1923.8865101968127</v>
      </c>
      <c r="K148" s="417" t="s">
        <v>27</v>
      </c>
      <c r="L148" s="418" t="str">
        <f t="shared" si="44"/>
        <v>N/A</v>
      </c>
      <c r="M148" s="419">
        <v>0</v>
      </c>
      <c r="N148" s="439" t="str">
        <f t="shared" si="35"/>
        <v>N/A</v>
      </c>
      <c r="O148" s="419">
        <v>0</v>
      </c>
      <c r="P148" s="421">
        <f t="shared" si="12"/>
        <v>1923.8865101968127</v>
      </c>
      <c r="Q148" s="418">
        <v>0</v>
      </c>
      <c r="R148" s="422">
        <f t="shared" si="31"/>
        <v>1923.8865101968127</v>
      </c>
      <c r="S148" s="415">
        <f>Forecast!H51</f>
        <v>4.7941428184399282E-3</v>
      </c>
      <c r="T148" s="416" t="s">
        <v>27</v>
      </c>
      <c r="U148" s="416">
        <f>F148*(1+S148)^'GHG Inventories'!$C$12</f>
        <v>2013.3471148154172</v>
      </c>
      <c r="V148" s="423" t="s">
        <v>27</v>
      </c>
      <c r="W148" s="418" t="str">
        <f>T148</f>
        <v>N/A</v>
      </c>
      <c r="X148" s="419">
        <v>0</v>
      </c>
      <c r="Y148" s="439" t="str">
        <f t="shared" si="37"/>
        <v>N/A</v>
      </c>
      <c r="Z148" s="419">
        <v>0</v>
      </c>
      <c r="AA148" s="424">
        <f t="shared" si="28"/>
        <v>2013.3471148154172</v>
      </c>
      <c r="AB148" s="418">
        <v>0</v>
      </c>
      <c r="AC148" s="557">
        <f t="shared" si="32"/>
        <v>2013.3471148154172</v>
      </c>
      <c r="AD148" s="783">
        <f>Forecast!J51</f>
        <v>4.9964430479310096E-3</v>
      </c>
      <c r="AE148" s="188" t="s">
        <v>27</v>
      </c>
      <c r="AF148" s="188">
        <f>F148*(1+AD148)^'GHG Inventories'!$C$13</f>
        <v>2121.7806861306249</v>
      </c>
      <c r="AG148" s="189" t="s">
        <v>27</v>
      </c>
      <c r="AH148" s="188" t="s">
        <v>27</v>
      </c>
      <c r="AI148" s="188">
        <v>0</v>
      </c>
      <c r="AJ148" s="812" t="str">
        <f t="shared" si="39"/>
        <v>N/A</v>
      </c>
      <c r="AK148" s="188">
        <v>0</v>
      </c>
      <c r="AL148" s="188">
        <f t="shared" si="19"/>
        <v>2121.7806861306249</v>
      </c>
      <c r="AM148" s="776">
        <v>0</v>
      </c>
      <c r="AN148" s="560">
        <f t="shared" si="33"/>
        <v>2121.7806861306249</v>
      </c>
      <c r="AO148" s="920">
        <f>Forecast!L51</f>
        <v>5.3537554888158922E-3</v>
      </c>
      <c r="AP148" s="565" t="s">
        <v>27</v>
      </c>
      <c r="AQ148" s="564">
        <f>F148*(1+AO148)^'GHG Inventories'!$C$14</f>
        <v>2197.0794003663527</v>
      </c>
      <c r="AR148" s="912" t="s">
        <v>27</v>
      </c>
      <c r="AS148" s="582" t="s">
        <v>27</v>
      </c>
      <c r="AT148" s="564">
        <v>0</v>
      </c>
      <c r="AU148" s="581" t="str">
        <f t="shared" si="41"/>
        <v>N/A</v>
      </c>
      <c r="AV148" s="564">
        <v>0</v>
      </c>
      <c r="AW148" s="911">
        <f t="shared" si="22"/>
        <v>2197.0794003663527</v>
      </c>
      <c r="AX148" s="582">
        <v>0</v>
      </c>
      <c r="AY148" s="884">
        <f t="shared" si="36"/>
        <v>2197.0794003663527</v>
      </c>
      <c r="AZ148" s="926">
        <f>Forecast!N51</f>
        <v>5.6543021227175583E-3</v>
      </c>
      <c r="BA148" s="564" t="s">
        <v>27</v>
      </c>
      <c r="BB148" s="564">
        <f>F148*(1+AZ148)^'GHG Inventories'!$C$15</f>
        <v>2278.8935889364188</v>
      </c>
      <c r="BC148" s="912" t="s">
        <v>27</v>
      </c>
      <c r="BD148" s="582" t="s">
        <v>27</v>
      </c>
      <c r="BE148" s="564">
        <v>0</v>
      </c>
      <c r="BF148" s="568" t="str">
        <f t="shared" si="43"/>
        <v>N/A</v>
      </c>
      <c r="BG148" s="564">
        <v>0</v>
      </c>
      <c r="BH148" s="911">
        <f t="shared" si="26"/>
        <v>2278.8935889364188</v>
      </c>
      <c r="BI148" s="906">
        <v>0</v>
      </c>
      <c r="BJ148" s="911">
        <f t="shared" si="42"/>
        <v>2278.8935889364188</v>
      </c>
    </row>
    <row r="149" spans="2:62" ht="16" thickBot="1">
      <c r="B149" s="380" t="s">
        <v>23</v>
      </c>
      <c r="C149" s="381" t="s">
        <v>35</v>
      </c>
      <c r="D149" s="487" t="s">
        <v>118</v>
      </c>
      <c r="E149" s="536">
        <v>4825437.1635355251</v>
      </c>
      <c r="F149" s="382">
        <f>'GHG Inventories'!D74</f>
        <v>894.33303637502513</v>
      </c>
      <c r="G149" s="383">
        <f>F149/E149</f>
        <v>1.8533720491342194E-4</v>
      </c>
      <c r="H149" s="391">
        <f>Forecast!F51</f>
        <v>5.5901446822717027E-3</v>
      </c>
      <c r="I149" s="384">
        <f>E149*(1+H149)^'GHG Inventories'!$C$11</f>
        <v>4906815.0628369199</v>
      </c>
      <c r="J149" s="384">
        <f>F149*(1+H149)^'GHG Inventories'!$C$11</f>
        <v>909.41538877327162</v>
      </c>
      <c r="K149" s="385">
        <f>J149/I149</f>
        <v>1.8533720491342194E-4</v>
      </c>
      <c r="L149" s="386">
        <f t="shared" si="44"/>
        <v>4906815.0628369199</v>
      </c>
      <c r="M149" s="387">
        <f>(L149-I149)*K149</f>
        <v>0</v>
      </c>
      <c r="N149" s="388">
        <f>'State Policies + Assumptions'!$F$138</f>
        <v>2.2476389430157502E-4</v>
      </c>
      <c r="O149" s="387">
        <f>L149*(N149-K149)</f>
        <v>193.45947336758206</v>
      </c>
      <c r="P149" s="389">
        <f t="shared" si="12"/>
        <v>1102.8748621408536</v>
      </c>
      <c r="Q149" s="386">
        <f>R149-P149</f>
        <v>-805.15119974819402</v>
      </c>
      <c r="R149" s="390">
        <f>(L149*'State Policies + Assumptions'!C182*'State Policies + Assumptions'!C183)+(L149*'State Policies + Assumptions'!C181*N149)</f>
        <v>297.72366239265955</v>
      </c>
      <c r="S149" s="391">
        <f>Forecast!H51</f>
        <v>4.7941428184399282E-3</v>
      </c>
      <c r="T149" s="384">
        <f>E149*(1+S149)^'GHG Inventories'!$C$12</f>
        <v>5134981.6620341679</v>
      </c>
      <c r="U149" s="384">
        <f>F149*(1+S149)^'GHG Inventories'!$C$12</f>
        <v>951.70314852309048</v>
      </c>
      <c r="V149" s="392">
        <f>U149/T149</f>
        <v>1.8533720491342191E-4</v>
      </c>
      <c r="W149" s="386">
        <f>T149</f>
        <v>5134981.6620341679</v>
      </c>
      <c r="X149" s="387">
        <f>(W149-T149)*V149</f>
        <v>0</v>
      </c>
      <c r="Y149" s="388">
        <f>'State Policies + Assumptions'!$F$148</f>
        <v>1.7053223144725138E-4</v>
      </c>
      <c r="Z149" s="387">
        <f>W149*(Y149-V149)</f>
        <v>-76.02326725568814</v>
      </c>
      <c r="AA149" s="393">
        <f t="shared" si="28"/>
        <v>875.67988126740238</v>
      </c>
      <c r="AB149" s="386">
        <f>AC149-AA149</f>
        <v>-862.01927511963095</v>
      </c>
      <c r="AC149" s="561">
        <f>(W149*'State Policies + Assumptions'!D182*'State Policies + Assumptions'!D183)+(W149*'State Policies + Assumptions'!D181*Y149)</f>
        <v>13.660606147771475</v>
      </c>
      <c r="AD149" s="784">
        <f>Forecast!J51</f>
        <v>4.9964430479310096E-3</v>
      </c>
      <c r="AE149" s="329">
        <f>E149*(1+AD149)^'GHG Inventories'!$C$13</f>
        <v>5411538.2459213492</v>
      </c>
      <c r="AF149" s="329">
        <f>F149*(1+AD149)^'GHG Inventories'!$C$13</f>
        <v>1002.959372781145</v>
      </c>
      <c r="AG149" s="788">
        <f t="shared" si="38"/>
        <v>1.8533720491342194E-4</v>
      </c>
      <c r="AH149" s="789">
        <f>AE149</f>
        <v>5411538.2459213492</v>
      </c>
      <c r="AI149" s="789">
        <f t="shared" si="18"/>
        <v>0</v>
      </c>
      <c r="AJ149" s="813">
        <f>'State Policies + Assumptions'!$F$158</f>
        <v>5.6844077149083793E-5</v>
      </c>
      <c r="AK149" s="188">
        <f>AH149*(AJ149-AG149)</f>
        <v>-695.34547523477431</v>
      </c>
      <c r="AL149" s="188">
        <f t="shared" si="19"/>
        <v>307.61389754637071</v>
      </c>
      <c r="AM149" s="780">
        <f>AN149-AL149</f>
        <v>-302.81512074464734</v>
      </c>
      <c r="AN149" s="918">
        <f>(AH149*'State Policies + Assumptions'!$E$182*'State Policies + Assumptions'!$E$183)+(AH149*'State Policies + Assumptions'!$E$181*AJ149)</f>
        <v>4.7987768017233838</v>
      </c>
      <c r="AO149" s="922">
        <f>Forecast!L51</f>
        <v>5.3537554888158922E-3</v>
      </c>
      <c r="AP149" s="867">
        <f>E149*(1+AO149)^'GHG Inventories'!$C$14</f>
        <v>5603585.3668226367</v>
      </c>
      <c r="AQ149" s="867">
        <f>F149*(1+AO149)^'GHG Inventories'!$C$14</f>
        <v>1038.5528493806596</v>
      </c>
      <c r="AR149" s="923">
        <f t="shared" si="20"/>
        <v>1.8533720491342194E-4</v>
      </c>
      <c r="AS149" s="914">
        <f>AP149</f>
        <v>5603585.3668226367</v>
      </c>
      <c r="AT149" s="915">
        <f>(AS149-AP149)*AR149</f>
        <v>0</v>
      </c>
      <c r="AU149" s="916">
        <f>'State Policies + Assumptions'!$F$163</f>
        <v>0</v>
      </c>
      <c r="AV149" s="867">
        <f>AS149*(AU149-AR149)</f>
        <v>-1038.5528493806596</v>
      </c>
      <c r="AW149" s="917">
        <f t="shared" si="22"/>
        <v>0</v>
      </c>
      <c r="AX149" s="588">
        <f>AY149-AW149</f>
        <v>0</v>
      </c>
      <c r="AY149" s="589">
        <f>(AS149*'State Policies + Assumptions'!E199*'State Policies + Assumptions'!E200)+(AS149*'State Policies + Assumptions'!E198*AU149)</f>
        <v>0</v>
      </c>
      <c r="AZ149" s="927">
        <f>Forecast!N51</f>
        <v>5.6543021227175583E-3</v>
      </c>
      <c r="BA149" s="867">
        <f>E149*(1+AZ149)^'GHG Inventories'!$C$15</f>
        <v>5812250.0103458725</v>
      </c>
      <c r="BB149" s="867">
        <f>F149*(1+AZ149)^'GHG Inventories'!$C$15</f>
        <v>1077.2261711755118</v>
      </c>
      <c r="BC149" s="923">
        <f t="shared" si="23"/>
        <v>1.8533720491342194E-4</v>
      </c>
      <c r="BD149" s="914">
        <f>BA149</f>
        <v>5812250.0103458725</v>
      </c>
      <c r="BE149" s="867">
        <f t="shared" si="24"/>
        <v>0</v>
      </c>
      <c r="BF149" s="916">
        <f>'State Policies + Assumptions'!$F$168</f>
        <v>0</v>
      </c>
      <c r="BG149" s="867">
        <f t="shared" si="25"/>
        <v>-1077.2261711755118</v>
      </c>
      <c r="BH149" s="930">
        <f t="shared" si="26"/>
        <v>0</v>
      </c>
      <c r="BI149" s="906">
        <f>BJ149-BH149</f>
        <v>0</v>
      </c>
      <c r="BJ149" s="912">
        <f>(BD149*'State Policies + Assumptions'!$G$182*'State Policies + Assumptions'!$G$183)+(BD149*'State Policies + Assumptions'!$G$181*BF149)</f>
        <v>0</v>
      </c>
    </row>
    <row r="150" spans="2:62" ht="16" thickBot="1">
      <c r="B150" s="1119" t="s">
        <v>6</v>
      </c>
      <c r="C150" s="1120"/>
      <c r="D150" s="1120"/>
      <c r="E150" s="494"/>
      <c r="F150" s="462">
        <f>SUM(F132:F149)</f>
        <v>591175.85452811304</v>
      </c>
      <c r="G150" s="463"/>
      <c r="H150" s="468">
        <f>(J150/F150)^(1/3)-1</f>
        <v>4.5393266331312798E-3</v>
      </c>
      <c r="I150" s="394"/>
      <c r="J150" s="469">
        <f>SUM(J132:J149)</f>
        <v>599263.07512561919</v>
      </c>
      <c r="K150" s="395"/>
      <c r="L150" s="396"/>
      <c r="M150" s="470">
        <f>SUM(M132:M149)</f>
        <v>-20699.447489827042</v>
      </c>
      <c r="N150" s="394"/>
      <c r="O150" s="470">
        <f>SUM(O132:O149)</f>
        <v>20283.485697211614</v>
      </c>
      <c r="P150" s="470">
        <f>SUM(P132:P149)</f>
        <v>598847.11333300383</v>
      </c>
      <c r="Q150" s="471">
        <f>AB150*1.009</f>
        <v>-55537.705217312418</v>
      </c>
      <c r="R150" s="472">
        <f>SUM(P150:Q150)</f>
        <v>543309.40811569139</v>
      </c>
      <c r="S150" s="478">
        <f>(U150/F150)^(1/13)-1</f>
        <v>3.6950952934891035E-3</v>
      </c>
      <c r="T150" s="397"/>
      <c r="U150" s="479">
        <f>SUM(U132:U149)</f>
        <v>620211.92548662017</v>
      </c>
      <c r="V150" s="398"/>
      <c r="W150" s="396"/>
      <c r="X150" s="479">
        <f>SUM(X132:X149)</f>
        <v>-141347.24430285709</v>
      </c>
      <c r="Y150" s="399"/>
      <c r="Z150" s="479">
        <f>SUM(Z132:Z149)</f>
        <v>-12051.778377343777</v>
      </c>
      <c r="AA150" s="480">
        <f>SUM(AA132:AA149)</f>
        <v>466812.90280641941</v>
      </c>
      <c r="AB150" s="481">
        <v>-55042.324298624801</v>
      </c>
      <c r="AC150" s="562">
        <f>SUM(AA150:AB150)</f>
        <v>411770.57850779459</v>
      </c>
      <c r="AD150" s="844">
        <f>(AF150/F150)^(1/23)-1</f>
        <v>3.693968771689482E-3</v>
      </c>
      <c r="AE150" s="845"/>
      <c r="AF150" s="846">
        <f>SUM(AF132:AF149)</f>
        <v>643497.58383373905</v>
      </c>
      <c r="AG150" s="847"/>
      <c r="AH150" s="848"/>
      <c r="AI150" s="849">
        <f>SUM(AI132:AI149)</f>
        <v>-196334.66255889018</v>
      </c>
      <c r="AJ150" s="850"/>
      <c r="AK150" s="851">
        <f>SUM(AK132:AK149)</f>
        <v>-57891.743130836112</v>
      </c>
      <c r="AL150" s="851">
        <f>SUM(AL132:AL149)</f>
        <v>389271.17814401304</v>
      </c>
      <c r="AM150" s="851">
        <f>SUM(AM132:AM149)</f>
        <v>-19431.979105792252</v>
      </c>
      <c r="AN150" s="852">
        <f>SUM(AL150:AM150)</f>
        <v>369839.1990382208</v>
      </c>
      <c r="AO150" s="828">
        <f>(AQ150/F150)^(1/28)-1</f>
        <v>3.7536095296897276E-3</v>
      </c>
      <c r="AP150" s="829"/>
      <c r="AQ150" s="830">
        <f>SUM(AQ132:AQ149)</f>
        <v>656562.4613759761</v>
      </c>
      <c r="AR150" s="829"/>
      <c r="AS150" s="829"/>
      <c r="AT150" s="831">
        <f>SUM(AT132:AT149)</f>
        <v>-222478.11753742467</v>
      </c>
      <c r="AU150" s="829"/>
      <c r="AV150" s="832">
        <f>SUM(AV132:AV149)</f>
        <v>-70602.702955274537</v>
      </c>
      <c r="AW150" s="833">
        <f>SUM(AW132:AW149)</f>
        <v>363481.640883277</v>
      </c>
      <c r="AX150" s="834">
        <f>SUM(AX132:AX149)</f>
        <v>0</v>
      </c>
      <c r="AY150" s="885">
        <f>SUM(AW150:AX150)</f>
        <v>363481.640883277</v>
      </c>
      <c r="AZ150" s="931">
        <f>(BB150/F150)^(1/33)-1</f>
        <v>3.81250468042027E-3</v>
      </c>
      <c r="BA150" s="907"/>
      <c r="BB150" s="932">
        <f>SUM(BB132:BB149)</f>
        <v>670274.25131845882</v>
      </c>
      <c r="BC150" s="907"/>
      <c r="BD150" s="907"/>
      <c r="BE150" s="933">
        <f>SUM(BE132:BE149)</f>
        <v>-267087.34584765433</v>
      </c>
      <c r="BF150" s="908"/>
      <c r="BG150" s="934">
        <f>SUM(BG132:BG149)</f>
        <v>-71993.43826527441</v>
      </c>
      <c r="BH150" s="934">
        <f>SUM(BH132:BH149)</f>
        <v>331193.46720553003</v>
      </c>
      <c r="BI150" s="935">
        <f>SUM(BI132:BI149)</f>
        <v>0</v>
      </c>
      <c r="BJ150" s="936">
        <f>SUM(BH150:BI150)</f>
        <v>331193.46720553003</v>
      </c>
    </row>
    <row r="151" spans="2:62" ht="16" thickBot="1">
      <c r="Q151" s="499"/>
      <c r="R151" s="58"/>
      <c r="S151" s="58"/>
      <c r="T151" s="58"/>
      <c r="U151" s="58"/>
      <c r="V151" s="58"/>
      <c r="W151" s="58"/>
      <c r="X151" s="58"/>
      <c r="Y151" s="58"/>
      <c r="Z151" s="58"/>
      <c r="AA151" s="58"/>
      <c r="AB151" s="61">
        <f>SUM(AB132:AB149)</f>
        <v>-69417.894961967322</v>
      </c>
    </row>
    <row r="152" spans="2:62" ht="19.5" customHeight="1" thickBot="1">
      <c r="B152" s="1132" t="s">
        <v>453</v>
      </c>
      <c r="C152" s="1133"/>
      <c r="D152" s="1133"/>
      <c r="E152" s="1133"/>
      <c r="F152" s="1133"/>
      <c r="G152" s="1133"/>
      <c r="H152" s="1133"/>
      <c r="I152" s="1133"/>
      <c r="J152" s="1133"/>
      <c r="K152" s="1133"/>
      <c r="L152" s="1133"/>
      <c r="M152" s="1133"/>
      <c r="N152" s="1133"/>
      <c r="O152" s="1133"/>
      <c r="P152" s="1133"/>
      <c r="Q152" s="1133"/>
      <c r="R152" s="1133"/>
      <c r="S152" s="1134"/>
      <c r="T152" s="58"/>
      <c r="U152"/>
      <c r="V152" s="58"/>
      <c r="W152"/>
      <c r="X152" s="61"/>
      <c r="Y152" s="61"/>
      <c r="Z152" s="58"/>
      <c r="AA152"/>
      <c r="AB152" s="84">
        <f>AB150-AB151</f>
        <v>14375.570663342522</v>
      </c>
      <c r="AC152"/>
    </row>
    <row r="153" spans="2:62" ht="75" customHeight="1" thickBot="1">
      <c r="B153" s="1117" t="s">
        <v>9</v>
      </c>
      <c r="C153" s="1118"/>
      <c r="D153" s="765" t="s">
        <v>1</v>
      </c>
      <c r="E153" s="765" t="s">
        <v>97</v>
      </c>
      <c r="F153" s="765" t="s">
        <v>50</v>
      </c>
      <c r="G153" s="765" t="s">
        <v>668</v>
      </c>
      <c r="H153" s="765" t="s">
        <v>669</v>
      </c>
      <c r="I153" s="765" t="s">
        <v>670</v>
      </c>
      <c r="J153" s="765" t="s">
        <v>395</v>
      </c>
      <c r="K153" s="766" t="s">
        <v>396</v>
      </c>
      <c r="L153" s="766" t="s">
        <v>667</v>
      </c>
      <c r="M153" s="766" t="s">
        <v>552</v>
      </c>
      <c r="N153" s="766" t="s">
        <v>666</v>
      </c>
      <c r="O153" s="765" t="s">
        <v>397</v>
      </c>
      <c r="P153" s="746" t="s">
        <v>398</v>
      </c>
      <c r="Q153" s="767" t="s">
        <v>642</v>
      </c>
      <c r="R153" s="591" t="s">
        <v>553</v>
      </c>
      <c r="S153" s="591" t="s">
        <v>643</v>
      </c>
      <c r="T153" s="58"/>
      <c r="U153" s="163"/>
      <c r="V153" s="58"/>
      <c r="W153" s="58"/>
      <c r="X153" s="84"/>
      <c r="Y153" s="496"/>
      <c r="Z153" s="61"/>
      <c r="AA153"/>
      <c r="AB153" s="495"/>
      <c r="AC153" s="61"/>
      <c r="AD153" s="61"/>
      <c r="AE153"/>
      <c r="AF153" s="58"/>
      <c r="AG153" s="58"/>
      <c r="AH153" s="61"/>
      <c r="AI153" s="61"/>
      <c r="AJ153" s="61"/>
      <c r="AK153"/>
    </row>
    <row r="154" spans="2:62" ht="26.25" customHeight="1">
      <c r="B154" s="1124" t="s">
        <v>388</v>
      </c>
      <c r="C154" s="1125"/>
      <c r="D154" s="770" t="s">
        <v>51</v>
      </c>
      <c r="E154" s="771">
        <f>O154/J154</f>
        <v>-7.0355113577057524E-2</v>
      </c>
      <c r="F154" s="771">
        <f>P154/K154</f>
        <v>-0.2735217124724828</v>
      </c>
      <c r="G154" s="771">
        <f>Q154/L154</f>
        <v>-0.33370644177020375</v>
      </c>
      <c r="H154" s="771">
        <f>R154/M154</f>
        <v>-0.34234001342782983</v>
      </c>
      <c r="I154" s="771">
        <f>S154/N154</f>
        <v>-0.47296550742539895</v>
      </c>
      <c r="J154" s="772">
        <f>SUM(J139:J142)</f>
        <v>274163.57062861731</v>
      </c>
      <c r="K154" s="773">
        <f>SUM(U139:U142)</f>
        <v>279531.4353595156</v>
      </c>
      <c r="L154" s="773">
        <f>SUM(AF139:AF142)</f>
        <v>285004.39783079986</v>
      </c>
      <c r="M154" s="773">
        <f>SUM(AQ139:AQ142)</f>
        <v>287780.93219039554</v>
      </c>
      <c r="N154" s="773">
        <f>SUM(BB139:BB142)</f>
        <v>290584.51575733221</v>
      </c>
      <c r="O154" s="774">
        <f>SUM(M139:M142)</f>
        <v>-19288.809150268004</v>
      </c>
      <c r="P154" s="775">
        <f>SUM(X139:X142)</f>
        <v>-76457.916889425833</v>
      </c>
      <c r="Q154" s="775">
        <f>SUM(AI139:AI142)</f>
        <v>-95107.803488975798</v>
      </c>
      <c r="R154" s="563">
        <f>SUM(AT139:AT142)</f>
        <v>-98518.92819033339</v>
      </c>
      <c r="S154" s="929">
        <f>SUM(BE139:BE142)</f>
        <v>-137436.45294513047</v>
      </c>
      <c r="U154" s="163"/>
      <c r="Y154" s="61"/>
      <c r="Z154"/>
      <c r="AA154" s="58"/>
      <c r="AB154"/>
      <c r="AC154" s="58"/>
      <c r="AD154"/>
      <c r="AE154" s="58"/>
      <c r="AF154" s="58"/>
      <c r="AG154" s="58"/>
      <c r="AH154" s="61"/>
      <c r="AI154" s="61"/>
      <c r="AJ154"/>
    </row>
    <row r="155" spans="2:62" ht="24" customHeight="1">
      <c r="B155" s="1163" t="s">
        <v>387</v>
      </c>
      <c r="C155" s="1164"/>
      <c r="D155" s="859" t="s">
        <v>69</v>
      </c>
      <c r="E155" s="629">
        <f t="shared" ref="E155:F160" si="45">O155/J155</f>
        <v>-2.7678627486088844E-2</v>
      </c>
      <c r="F155" s="629">
        <f t="shared" si="45"/>
        <v>-0.15910734507944588</v>
      </c>
      <c r="G155" s="629">
        <f t="shared" ref="G155:G160" si="46">Q155/L155</f>
        <v>-0.15910734507944582</v>
      </c>
      <c r="H155" s="856">
        <f t="shared" ref="H155:H160" si="47">R155/M155</f>
        <v>-0.15910734507944577</v>
      </c>
      <c r="I155" s="629">
        <f t="shared" ref="I155:I160" si="48">S155/N155</f>
        <v>-0.15910734507944577</v>
      </c>
      <c r="J155" s="860">
        <f>J143</f>
        <v>50964.894854993036</v>
      </c>
      <c r="K155" s="151">
        <f>U143</f>
        <v>51962.739539386341</v>
      </c>
      <c r="L155" s="151">
        <f>AF143</f>
        <v>52980.121083749735</v>
      </c>
      <c r="M155" s="151">
        <f>AQ143</f>
        <v>53496.257422992836</v>
      </c>
      <c r="N155" s="151">
        <f>BB143</f>
        <v>54017.422001417675</v>
      </c>
      <c r="O155" s="861">
        <f>M143</f>
        <v>-1410.6383395590381</v>
      </c>
      <c r="P155" s="747">
        <f>X143</f>
        <v>-8267.6535311665084</v>
      </c>
      <c r="Q155" s="747">
        <f>AI143</f>
        <v>-8429.5264076229923</v>
      </c>
      <c r="R155" s="564">
        <f>AT143</f>
        <v>-8511.6474902589835</v>
      </c>
      <c r="S155" s="911">
        <f>BE143</f>
        <v>-8594.5686026816074</v>
      </c>
      <c r="Y155" s="58"/>
      <c r="Z155" s="58"/>
      <c r="AA155" s="58"/>
      <c r="AB155" s="58"/>
      <c r="AC155"/>
      <c r="AD155" s="58"/>
      <c r="AE155"/>
      <c r="AF155" s="58"/>
      <c r="AG155"/>
      <c r="AH155" s="58"/>
      <c r="AI155" s="61"/>
      <c r="AJ155" s="58"/>
    </row>
    <row r="156" spans="2:62" ht="23.25" customHeight="1">
      <c r="B156" s="1163" t="s">
        <v>362</v>
      </c>
      <c r="C156" s="1164"/>
      <c r="D156" s="859" t="s">
        <v>311</v>
      </c>
      <c r="E156" s="629">
        <f t="shared" si="45"/>
        <v>0</v>
      </c>
      <c r="F156" s="629">
        <f t="shared" si="45"/>
        <v>-0.89132931882991184</v>
      </c>
      <c r="G156" s="629">
        <f t="shared" si="46"/>
        <v>-0.97439460439579051</v>
      </c>
      <c r="H156" s="856">
        <f t="shared" si="47"/>
        <v>-0.97439460439579051</v>
      </c>
      <c r="I156" s="629">
        <f t="shared" si="48"/>
        <v>-0.97439460439579051</v>
      </c>
      <c r="J156" s="860">
        <f>J144</f>
        <v>1523.357503265913</v>
      </c>
      <c r="K156" s="151">
        <f>U144</f>
        <v>1553.1834097332867</v>
      </c>
      <c r="L156" s="151">
        <f>AF144</f>
        <v>1583.5932793837565</v>
      </c>
      <c r="M156" s="151">
        <f>AQ144</f>
        <v>1599.0207646622264</v>
      </c>
      <c r="N156" s="151">
        <f>BB144</f>
        <v>1614.5985456669509</v>
      </c>
      <c r="O156" s="861">
        <f>M144</f>
        <v>0</v>
      </c>
      <c r="P156" s="747">
        <f>X144</f>
        <v>-1384.3979106154902</v>
      </c>
      <c r="Q156" s="747">
        <f>AI144</f>
        <v>-1543.044746988968</v>
      </c>
      <c r="R156" s="564">
        <f>AT144</f>
        <v>-1558.0772054037045</v>
      </c>
      <c r="S156" s="911">
        <f>BE144</f>
        <v>-1573.2561111631674</v>
      </c>
      <c r="U156" s="163"/>
      <c r="Y156" s="58"/>
      <c r="Z156" s="58"/>
      <c r="AA156" s="58"/>
      <c r="AB156" s="58"/>
      <c r="AC156" s="58"/>
      <c r="AD156" s="58"/>
      <c r="AE156" s="58"/>
      <c r="AF156" s="58"/>
      <c r="AG156" s="58"/>
      <c r="AH156" s="58"/>
      <c r="AI156" s="84"/>
      <c r="AJ156" s="58"/>
    </row>
    <row r="157" spans="2:62" ht="25.5" customHeight="1">
      <c r="B157" s="1163" t="s">
        <v>389</v>
      </c>
      <c r="C157" s="1164"/>
      <c r="D157" s="859" t="s">
        <v>53</v>
      </c>
      <c r="E157" s="629">
        <f t="shared" si="45"/>
        <v>0.16537648160384377</v>
      </c>
      <c r="F157" s="629">
        <f t="shared" si="45"/>
        <v>-9.311054593143514E-2</v>
      </c>
      <c r="G157" s="629">
        <f t="shared" si="46"/>
        <v>-0.42208492352342514</v>
      </c>
      <c r="H157" s="856">
        <f t="shared" si="47"/>
        <v>-0.49918910049196957</v>
      </c>
      <c r="I157" s="629">
        <f t="shared" si="48"/>
        <v>-0.49326921849702099</v>
      </c>
      <c r="J157" s="860">
        <f>SUM(J132,J134,J136,J149)</f>
        <v>122650.36419023789</v>
      </c>
      <c r="K157" s="151">
        <f>SUM(U132,U134,U136,U149)</f>
        <v>129435.15964580941</v>
      </c>
      <c r="L157" s="151">
        <f>SUM(AF132,AF134,AF136,AF149)</f>
        <v>137156.62395040083</v>
      </c>
      <c r="M157" s="151">
        <f>SUM(AQ132,AQ134,AQ136,AQ149)</f>
        <v>141434.78470522078</v>
      </c>
      <c r="N157" s="151">
        <f>SUM(BB132,BB134,BB136,BB149)</f>
        <v>145951.61336974689</v>
      </c>
      <c r="O157" s="861">
        <f>O150</f>
        <v>20283.485697211614</v>
      </c>
      <c r="P157" s="747">
        <f>Z150</f>
        <v>-12051.778377343777</v>
      </c>
      <c r="Q157" s="747">
        <f>AK150</f>
        <v>-57891.743130836112</v>
      </c>
      <c r="R157" s="564">
        <f>AV150</f>
        <v>-70602.702955274537</v>
      </c>
      <c r="S157" s="911">
        <f>BG150</f>
        <v>-71993.43826527441</v>
      </c>
      <c r="Y157" s="58"/>
      <c r="Z157" s="58"/>
      <c r="AA157" s="58"/>
      <c r="AB157" s="58"/>
      <c r="AC157"/>
      <c r="AD157" s="58"/>
      <c r="AE157"/>
      <c r="AF157" s="58"/>
      <c r="AG157"/>
      <c r="AH157" s="58"/>
      <c r="AI157" s="58"/>
      <c r="AJ157" s="58"/>
    </row>
    <row r="158" spans="2:62" ht="24" customHeight="1">
      <c r="B158" s="1163" t="s">
        <v>391</v>
      </c>
      <c r="C158" s="1164"/>
      <c r="D158" s="859" t="s">
        <v>52</v>
      </c>
      <c r="E158" s="629">
        <f t="shared" si="45"/>
        <v>0</v>
      </c>
      <c r="F158" s="629">
        <f t="shared" si="45"/>
        <v>-4.6648379945889697E-2</v>
      </c>
      <c r="G158" s="629">
        <f t="shared" si="46"/>
        <v>-0.10275021098113912</v>
      </c>
      <c r="H158" s="856">
        <f t="shared" si="47"/>
        <v>-0.1118689907194132</v>
      </c>
      <c r="I158" s="629">
        <f t="shared" si="48"/>
        <v>-0.13212039776139947</v>
      </c>
      <c r="J158" s="862">
        <f>SUM(J132:J133)</f>
        <v>81681.107713157617</v>
      </c>
      <c r="K158" s="151">
        <f>SUM(U132:U133)</f>
        <v>85075.872109910662</v>
      </c>
      <c r="L158" s="151">
        <f>SUM(AF132:AF133)</f>
        <v>89377.649959801813</v>
      </c>
      <c r="M158" s="151">
        <f>SUM(AQ132:AQ133)</f>
        <v>92773.583498275737</v>
      </c>
      <c r="N158" s="151">
        <f>SUM(BB132:BB133)</f>
        <v>96510.976893841274</v>
      </c>
      <c r="O158" s="862">
        <f>SUM(M132:M133)</f>
        <v>0</v>
      </c>
      <c r="P158" s="747">
        <f>SUM(X132:X133)</f>
        <v>-3968.6516064110328</v>
      </c>
      <c r="Q158" s="747">
        <f>SUM(AI132:AI133)</f>
        <v>-9183.5723903680373</v>
      </c>
      <c r="R158" s="564">
        <f>SUM(AT132:AT133)</f>
        <v>-10378.487151375313</v>
      </c>
      <c r="S158" s="911">
        <f>SUM(BE132:BE133)</f>
        <v>-12751.068655555544</v>
      </c>
      <c r="Y158" s="61"/>
      <c r="Z158" s="58"/>
      <c r="AA158" s="58"/>
      <c r="AB158" s="58"/>
      <c r="AC158"/>
      <c r="AD158" s="58"/>
      <c r="AE158"/>
      <c r="AF158" s="58"/>
      <c r="AG158"/>
      <c r="AH158" s="58"/>
      <c r="AI158" s="58"/>
      <c r="AJ158" s="58"/>
    </row>
    <row r="159" spans="2:62" ht="27.75" customHeight="1">
      <c r="B159" s="1163" t="s">
        <v>390</v>
      </c>
      <c r="C159" s="1164"/>
      <c r="D159" s="859" t="s">
        <v>394</v>
      </c>
      <c r="E159" s="629">
        <f t="shared" si="45"/>
        <v>0</v>
      </c>
      <c r="F159" s="629">
        <f t="shared" si="45"/>
        <v>-0.22983074207934776</v>
      </c>
      <c r="G159" s="629">
        <f t="shared" si="46"/>
        <v>-0.36772918732695625</v>
      </c>
      <c r="H159" s="856">
        <f t="shared" si="47"/>
        <v>-0.4596614841586954</v>
      </c>
      <c r="I159" s="629">
        <f t="shared" si="48"/>
        <v>-0.45966148415869529</v>
      </c>
      <c r="J159" s="862">
        <f>SUM(J134:J137)</f>
        <v>177449.13801381981</v>
      </c>
      <c r="K159" s="151">
        <f>SUM(U134:U137)</f>
        <v>187986.09181575303</v>
      </c>
      <c r="L159" s="151">
        <f>SUM(AF134:AF137)</f>
        <v>199696.52990354112</v>
      </c>
      <c r="M159" s="151">
        <f>SUM(AQ134:AQ137)</f>
        <v>205535.42290667206</v>
      </c>
      <c r="N159" s="151">
        <f>SUM(BB134:BB137)</f>
        <v>211602.52919313224</v>
      </c>
      <c r="O159" s="862">
        <f>SUM(M134:M137)</f>
        <v>0</v>
      </c>
      <c r="P159" s="747">
        <f>SUM(X134:X137)</f>
        <v>-43204.98298261092</v>
      </c>
      <c r="Q159" s="747">
        <f>SUM(AI134:AI137)</f>
        <v>-73434.242653442387</v>
      </c>
      <c r="R159" s="564">
        <f>SUM(AT134:AT137)</f>
        <v>-94476.717540465994</v>
      </c>
      <c r="S159" s="911">
        <f>SUM(BE134:BE137)</f>
        <v>-97265.53262064881</v>
      </c>
      <c r="Y159" s="58"/>
      <c r="Z159" s="58"/>
      <c r="AA159" s="58"/>
      <c r="AB159" s="58"/>
      <c r="AC159"/>
      <c r="AD159" s="58"/>
      <c r="AE159"/>
      <c r="AF159" s="58"/>
      <c r="AG159"/>
      <c r="AH159" s="58"/>
      <c r="AI159" s="61"/>
      <c r="AJ159" s="58"/>
    </row>
    <row r="160" spans="2:62" ht="16" thickBot="1">
      <c r="B160" s="1174" t="s">
        <v>392</v>
      </c>
      <c r="C160" s="1175"/>
      <c r="D160" s="863" t="s">
        <v>243</v>
      </c>
      <c r="E160" s="855">
        <f t="shared" si="45"/>
        <v>0</v>
      </c>
      <c r="F160" s="855">
        <f t="shared" si="45"/>
        <v>-0.75814002746606923</v>
      </c>
      <c r="G160" s="855">
        <f t="shared" si="46"/>
        <v>-0.77050027786870556</v>
      </c>
      <c r="H160" s="864">
        <f t="shared" si="47"/>
        <v>-0.77836573507114526</v>
      </c>
      <c r="I160" s="855">
        <f t="shared" si="48"/>
        <v>-0.78632259081575251</v>
      </c>
      <c r="J160" s="865">
        <f>J146</f>
        <v>10163.48314157429</v>
      </c>
      <c r="K160" s="854">
        <f>U146</f>
        <v>10636.084483731014</v>
      </c>
      <c r="L160" s="854">
        <f>AF146</f>
        <v>11208.915972595742</v>
      </c>
      <c r="M160" s="854">
        <f>AQ146</f>
        <v>11606.703060691052</v>
      </c>
      <c r="N160" s="854">
        <f>BB146</f>
        <v>12038.91001357851</v>
      </c>
      <c r="O160" s="865">
        <f>M146</f>
        <v>0</v>
      </c>
      <c r="P160" s="866">
        <f>X146</f>
        <v>-8063.6413826272637</v>
      </c>
      <c r="Q160" s="866">
        <f>AI146</f>
        <v>-8636.4728714919911</v>
      </c>
      <c r="R160" s="867">
        <f>AT146</f>
        <v>-9034.2599595873016</v>
      </c>
      <c r="S160" s="930">
        <f>BE146</f>
        <v>-9466.4669124747597</v>
      </c>
      <c r="Y160" s="58"/>
      <c r="Z160" s="58"/>
      <c r="AA160" s="58"/>
      <c r="AB160" s="58"/>
      <c r="AC160"/>
      <c r="AD160" s="58"/>
      <c r="AE160"/>
      <c r="AF160" s="58"/>
      <c r="AG160"/>
      <c r="AH160" s="58"/>
      <c r="AI160" s="58"/>
      <c r="AJ160" s="58"/>
    </row>
    <row r="161" spans="2:34" ht="28.5" thickBot="1">
      <c r="B161" s="1128"/>
      <c r="C161" s="1129"/>
      <c r="D161" s="1129"/>
      <c r="E161" s="1130"/>
      <c r="F161" s="1130"/>
      <c r="G161" s="1130"/>
      <c r="H161" s="1130"/>
      <c r="I161" s="1130"/>
      <c r="J161" s="1131"/>
      <c r="K161" s="937"/>
      <c r="L161" s="869"/>
      <c r="M161" s="869"/>
      <c r="N161" s="768" t="s">
        <v>363</v>
      </c>
      <c r="O161" s="769">
        <f>SUM(O154:O160)</f>
        <v>-415.96179261542784</v>
      </c>
      <c r="P161" s="769">
        <f>SUM(P154:P160)</f>
        <v>-153399.02268020084</v>
      </c>
      <c r="Q161" s="769">
        <f>SUM(Q154:Q160)</f>
        <v>-254226.40568972623</v>
      </c>
      <c r="R161" s="938">
        <f>SUM(R154:R160)</f>
        <v>-293080.82049269922</v>
      </c>
      <c r="S161" s="939">
        <f>SUM(S154:S160)</f>
        <v>-339080.78411292878</v>
      </c>
      <c r="T161" s="58"/>
      <c r="U161" s="58"/>
      <c r="V161" s="58"/>
      <c r="W161" s="58"/>
      <c r="X161" s="58"/>
      <c r="Y161" s="58"/>
      <c r="Z161" s="58"/>
      <c r="AA161"/>
      <c r="AB161" s="58"/>
      <c r="AC161"/>
      <c r="AD161" s="58"/>
      <c r="AE161"/>
      <c r="AF161" s="58"/>
      <c r="AG161" s="58"/>
      <c r="AH161" s="58"/>
    </row>
    <row r="162" spans="2:34" ht="16" thickBot="1">
      <c r="B162" s="1126" t="s">
        <v>393</v>
      </c>
      <c r="C162" s="1127"/>
      <c r="D162" s="872" t="s">
        <v>381</v>
      </c>
      <c r="E162" s="873">
        <f>O162/J162</f>
        <v>-0.55560822771133334</v>
      </c>
      <c r="F162" s="874">
        <f>P162/K162</f>
        <v>-0.5221862864014517</v>
      </c>
      <c r="G162" s="875">
        <f>Q162/L162</f>
        <v>-0.17405904624301011</v>
      </c>
      <c r="H162" s="875">
        <f>R162/M162</f>
        <v>0</v>
      </c>
      <c r="I162" s="875">
        <f>S162/N162</f>
        <v>0</v>
      </c>
      <c r="J162" s="876">
        <f>SUM(J132,J134)</f>
        <v>99958.392347938861</v>
      </c>
      <c r="K162" s="877">
        <f>SUM(U132,U134)</f>
        <v>105407.44889709495</v>
      </c>
      <c r="L162" s="879">
        <f>SUM(AF132,AF134)</f>
        <v>111640.15617242074</v>
      </c>
      <c r="M162" s="878">
        <f>SUM(AQ132,AQ134)</f>
        <v>115165.97713172197</v>
      </c>
      <c r="N162" s="879">
        <f>SUM(BB132,BB134)</f>
        <v>118899.37210720888</v>
      </c>
      <c r="O162" s="857">
        <f>Q150</f>
        <v>-55537.705217312418</v>
      </c>
      <c r="P162" s="857">
        <f>AB150</f>
        <v>-55042.324298624801</v>
      </c>
      <c r="Q162" s="858">
        <f>AM150</f>
        <v>-19431.979105792252</v>
      </c>
      <c r="R162" s="870">
        <f>AX150</f>
        <v>0</v>
      </c>
      <c r="S162" s="880">
        <f>AX150</f>
        <v>0</v>
      </c>
      <c r="T162" s="58"/>
      <c r="U162" s="58"/>
      <c r="V162" s="58"/>
      <c r="W162" s="58"/>
      <c r="X162" s="58"/>
      <c r="Y162" s="58"/>
      <c r="Z162" s="58"/>
      <c r="AA162" s="58"/>
      <c r="AB162" s="58"/>
      <c r="AC162" s="58"/>
      <c r="AD162" s="58"/>
      <c r="AE162" s="58"/>
      <c r="AF162" s="58"/>
    </row>
    <row r="163" spans="2:34" ht="16" thickBot="1">
      <c r="B163" s="1135" t="s">
        <v>382</v>
      </c>
      <c r="C163" s="1136"/>
      <c r="D163" s="1136"/>
      <c r="E163" s="1136"/>
      <c r="F163" s="1136"/>
      <c r="G163" s="1136"/>
      <c r="H163" s="1136"/>
      <c r="I163" s="1136"/>
      <c r="J163" s="1136"/>
      <c r="K163" s="1136"/>
      <c r="L163" s="1136"/>
      <c r="M163" s="1136"/>
      <c r="N163" s="1137"/>
      <c r="O163" s="871">
        <f>SUM(O161:O162)</f>
        <v>-55953.667009927842</v>
      </c>
      <c r="P163" s="871">
        <f t="shared" ref="P163:R163" si="49">SUM(P161:P162)</f>
        <v>-208441.34697882563</v>
      </c>
      <c r="Q163" s="871">
        <f t="shared" si="49"/>
        <v>-273658.38479551848</v>
      </c>
      <c r="R163" s="871">
        <f t="shared" si="49"/>
        <v>-293080.82049269922</v>
      </c>
      <c r="S163" s="881">
        <f>SUM(S161:S162)</f>
        <v>-339080.78411292878</v>
      </c>
      <c r="T163" s="58"/>
      <c r="U163" s="58"/>
      <c r="V163" s="58"/>
      <c r="W163" s="58"/>
      <c r="X163" s="58"/>
      <c r="Y163" s="58"/>
      <c r="Z163" s="58"/>
      <c r="AA163" s="58"/>
      <c r="AB163" s="58"/>
      <c r="AC163" s="58"/>
      <c r="AD163" s="58"/>
      <c r="AE163" s="58"/>
      <c r="AF163" s="58"/>
    </row>
    <row r="164" spans="2:34" ht="16.5" customHeight="1" thickBot="1">
      <c r="B164" s="1114" t="s">
        <v>96</v>
      </c>
      <c r="C164" s="1115"/>
      <c r="D164" s="1115"/>
      <c r="E164" s="1115"/>
      <c r="F164" s="1115"/>
      <c r="G164" s="1115"/>
      <c r="H164" s="1115"/>
      <c r="I164" s="1115"/>
      <c r="J164" s="1115"/>
      <c r="K164" s="1115"/>
      <c r="L164" s="1115"/>
      <c r="M164" s="1115"/>
      <c r="N164" s="1115"/>
      <c r="O164" s="1115"/>
      <c r="P164" s="1115"/>
      <c r="Q164" s="1115"/>
      <c r="R164" s="1115"/>
      <c r="S164" s="1116"/>
      <c r="T164" s="58"/>
      <c r="U164" s="58"/>
      <c r="V164"/>
      <c r="W164" s="58"/>
      <c r="X164"/>
      <c r="Y164" s="58"/>
      <c r="Z164"/>
      <c r="AA164" s="58"/>
      <c r="AB164" s="58"/>
      <c r="AC164" s="58"/>
    </row>
    <row r="165" spans="2:34">
      <c r="F165" s="5"/>
    </row>
    <row r="166" spans="2:34">
      <c r="F166" s="5"/>
    </row>
    <row r="167" spans="2:34">
      <c r="F167" s="5"/>
    </row>
    <row r="168" spans="2:34">
      <c r="F168" s="5"/>
    </row>
    <row r="169" spans="2:34">
      <c r="F169" s="5"/>
    </row>
    <row r="170" spans="2:34">
      <c r="F170" s="5"/>
    </row>
    <row r="171" spans="2:34">
      <c r="F171" s="5"/>
    </row>
    <row r="172" spans="2:34">
      <c r="F172" s="5"/>
    </row>
    <row r="173" spans="2:34">
      <c r="F173" s="5"/>
    </row>
    <row r="174" spans="2:34">
      <c r="F174" s="5"/>
    </row>
    <row r="175" spans="2:34">
      <c r="F175" s="5"/>
    </row>
    <row r="176" spans="2:34">
      <c r="F176" s="5"/>
    </row>
    <row r="177" spans="6:6">
      <c r="F177" s="5"/>
    </row>
    <row r="178" spans="6:6">
      <c r="F178" s="5"/>
    </row>
    <row r="179" spans="6:6">
      <c r="F179" s="5"/>
    </row>
    <row r="180" spans="6:6">
      <c r="F180" s="5"/>
    </row>
    <row r="181" spans="6:6">
      <c r="F181" s="5"/>
    </row>
    <row r="182" spans="6:6">
      <c r="F182" s="5"/>
    </row>
    <row r="183" spans="6:6">
      <c r="F183" s="5"/>
    </row>
    <row r="184" spans="6:6">
      <c r="F184" s="5"/>
    </row>
    <row r="185" spans="6:6">
      <c r="F185" s="5"/>
    </row>
    <row r="186" spans="6:6">
      <c r="F186" s="5"/>
    </row>
    <row r="187" spans="6:6">
      <c r="F187" s="5"/>
    </row>
    <row r="188" spans="6:6">
      <c r="F188" s="5"/>
    </row>
    <row r="189" spans="6:6">
      <c r="F189" s="5"/>
    </row>
    <row r="190" spans="6:6">
      <c r="F190" s="5"/>
    </row>
    <row r="191" spans="6:6">
      <c r="F191" s="5"/>
    </row>
    <row r="192" spans="6:6">
      <c r="F192" s="5"/>
    </row>
    <row r="193" spans="6:6">
      <c r="F193" s="5"/>
    </row>
    <row r="194" spans="6:6">
      <c r="F194" s="5"/>
    </row>
    <row r="195" spans="6:6">
      <c r="F195" s="5"/>
    </row>
    <row r="196" spans="6:6">
      <c r="F196" s="5"/>
    </row>
    <row r="197" spans="6:6">
      <c r="F197" s="5"/>
    </row>
    <row r="198" spans="6:6">
      <c r="F198" s="5"/>
    </row>
    <row r="199" spans="6:6">
      <c r="F199" s="5"/>
    </row>
    <row r="200" spans="6:6">
      <c r="F200" s="5"/>
    </row>
    <row r="201" spans="6:6">
      <c r="F201" s="5"/>
    </row>
    <row r="202" spans="6:6">
      <c r="F202" s="5"/>
    </row>
    <row r="203" spans="6:6">
      <c r="F203" s="5"/>
    </row>
    <row r="204" spans="6:6">
      <c r="F204" s="5"/>
    </row>
    <row r="205" spans="6:6">
      <c r="F205" s="5"/>
    </row>
    <row r="206" spans="6:6">
      <c r="F206" s="5"/>
    </row>
    <row r="207" spans="6:6">
      <c r="F207" s="5"/>
    </row>
    <row r="208" spans="6:6">
      <c r="F208" s="5"/>
    </row>
    <row r="209" spans="6:6">
      <c r="F209" s="5"/>
    </row>
    <row r="210" spans="6:6">
      <c r="F210" s="5"/>
    </row>
    <row r="211" spans="6:6">
      <c r="F211" s="5"/>
    </row>
    <row r="212" spans="6:6">
      <c r="F212" s="5"/>
    </row>
    <row r="213" spans="6:6">
      <c r="F213" s="5"/>
    </row>
    <row r="214" spans="6:6">
      <c r="F214" s="5"/>
    </row>
    <row r="215" spans="6:6">
      <c r="F215" s="5"/>
    </row>
    <row r="216" spans="6:6">
      <c r="F216" s="5"/>
    </row>
    <row r="217" spans="6:6">
      <c r="F217" s="5"/>
    </row>
    <row r="218" spans="6:6">
      <c r="F218" s="5"/>
    </row>
    <row r="219" spans="6:6">
      <c r="F219" s="5"/>
    </row>
    <row r="220" spans="6:6">
      <c r="F220" s="5"/>
    </row>
    <row r="221" spans="6:6">
      <c r="F221" s="5"/>
    </row>
    <row r="222" spans="6:6">
      <c r="F222" s="5"/>
    </row>
    <row r="223" spans="6:6">
      <c r="F223" s="5"/>
    </row>
    <row r="224" spans="6:6">
      <c r="F224" s="5"/>
    </row>
    <row r="225" spans="6:6">
      <c r="F225" s="5"/>
    </row>
    <row r="226" spans="6:6">
      <c r="F226" s="5"/>
    </row>
    <row r="227" spans="6:6">
      <c r="F227" s="5"/>
    </row>
    <row r="228" spans="6:6">
      <c r="F228" s="5"/>
    </row>
    <row r="229" spans="6:6">
      <c r="F229" s="5"/>
    </row>
    <row r="230" spans="6:6">
      <c r="F230" s="5"/>
    </row>
    <row r="231" spans="6:6">
      <c r="F231" s="5"/>
    </row>
    <row r="232" spans="6:6">
      <c r="F232" s="5"/>
    </row>
    <row r="233" spans="6:6">
      <c r="F233" s="5"/>
    </row>
    <row r="234" spans="6:6">
      <c r="F234" s="5"/>
    </row>
    <row r="235" spans="6:6">
      <c r="F235" s="5"/>
    </row>
    <row r="236" spans="6:6">
      <c r="F236" s="5"/>
    </row>
    <row r="237" spans="6:6">
      <c r="F237" s="5"/>
    </row>
    <row r="238" spans="6:6">
      <c r="F238" s="5"/>
    </row>
    <row r="239" spans="6:6">
      <c r="F239" s="5"/>
    </row>
  </sheetData>
  <mergeCells count="62">
    <mergeCell ref="AZ130:BC130"/>
    <mergeCell ref="BD130:BH130"/>
    <mergeCell ref="BI130:BJ130"/>
    <mergeCell ref="B129:BJ129"/>
    <mergeCell ref="B30:H30"/>
    <mergeCell ref="B120:H120"/>
    <mergeCell ref="AS130:AW130"/>
    <mergeCell ref="AX130:AY130"/>
    <mergeCell ref="AO130:AR130"/>
    <mergeCell ref="AH130:AL130"/>
    <mergeCell ref="AM130:AN130"/>
    <mergeCell ref="AD130:AG130"/>
    <mergeCell ref="N46:O46"/>
    <mergeCell ref="B45:O45"/>
    <mergeCell ref="B54:O54"/>
    <mergeCell ref="Q130:R130"/>
    <mergeCell ref="AB130:AC130"/>
    <mergeCell ref="W130:AA130"/>
    <mergeCell ref="L130:P130"/>
    <mergeCell ref="S130:V130"/>
    <mergeCell ref="B130:G130"/>
    <mergeCell ref="L46:M46"/>
    <mergeCell ref="B58:B60"/>
    <mergeCell ref="J46:K46"/>
    <mergeCell ref="B64:B69"/>
    <mergeCell ref="B160:C160"/>
    <mergeCell ref="B134:B135"/>
    <mergeCell ref="H130:K130"/>
    <mergeCell ref="B155:C155"/>
    <mergeCell ref="B156:C156"/>
    <mergeCell ref="B132:B133"/>
    <mergeCell ref="B71:M71"/>
    <mergeCell ref="B38:C38"/>
    <mergeCell ref="B39:C39"/>
    <mergeCell ref="B157:C157"/>
    <mergeCell ref="B158:C158"/>
    <mergeCell ref="B159:C159"/>
    <mergeCell ref="B2:H2"/>
    <mergeCell ref="B56:E56"/>
    <mergeCell ref="B46:B47"/>
    <mergeCell ref="F46:G46"/>
    <mergeCell ref="H46:I46"/>
    <mergeCell ref="B31:C31"/>
    <mergeCell ref="B32:C32"/>
    <mergeCell ref="B33:C33"/>
    <mergeCell ref="B34:C34"/>
    <mergeCell ref="B35:C35"/>
    <mergeCell ref="B36:C36"/>
    <mergeCell ref="B37:C37"/>
    <mergeCell ref="B40:C40"/>
    <mergeCell ref="B41:C41"/>
    <mergeCell ref="B42:C42"/>
    <mergeCell ref="B43:H43"/>
    <mergeCell ref="B164:S164"/>
    <mergeCell ref="B153:C153"/>
    <mergeCell ref="B150:D150"/>
    <mergeCell ref="B138:B145"/>
    <mergeCell ref="B154:C154"/>
    <mergeCell ref="B162:C162"/>
    <mergeCell ref="B161:J161"/>
    <mergeCell ref="B152:S152"/>
    <mergeCell ref="B163:N163"/>
  </mergeCells>
  <pageMargins left="0.75" right="0.75" top="1" bottom="1" header="0.5" footer="0.5"/>
  <pageSetup orientation="portrait" r:id="rId1"/>
  <headerFooter alignWithMargins="0"/>
  <ignoredErrors>
    <ignoredError sqref="C50:E51 C49:E49 C48:D48" formulaRange="1"/>
    <ignoredError sqref="F53:H53 X140:AC140 M139:R149 L140:L141 Y133 AC134 M133:R137 W136:X136 G50:G52 W142:AC142 Y141:AC141 X135 X137 W144:AC147 X143:AC143 I50 I52 AA149:AB149 W148 Y148:AC148 Z135:AC135 Z136:AC136 Z137:AC137 W139:X139 Z139:AC139" formula="1"/>
    <ignoredError sqref="H74" evalError="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'Plan Bay Area Data'!$B$111:$B$131</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A5E34-9300-45A7-A62A-04061F077936}">
  <dimension ref="A1:P54"/>
  <sheetViews>
    <sheetView topLeftCell="G9" zoomScale="82" zoomScaleNormal="82" workbookViewId="0">
      <selection activeCell="M50" sqref="M50"/>
    </sheetView>
  </sheetViews>
  <sheetFormatPr defaultRowHeight="14"/>
  <cols>
    <col min="1" max="1" width="9.08203125" style="58" customWidth="1"/>
    <col min="2" max="2" width="26.83203125" customWidth="1"/>
    <col min="3" max="3" width="24.9140625" customWidth="1"/>
    <col min="6" max="6" width="23.9140625" style="58" customWidth="1"/>
    <col min="7" max="7" width="17.6640625" style="58" customWidth="1"/>
    <col min="8" max="8" width="24.1640625" customWidth="1"/>
    <col min="9" max="9" width="39.1640625" customWidth="1"/>
    <col min="10" max="10" width="11.9140625" customWidth="1"/>
    <col min="11" max="11" width="44.6640625" customWidth="1"/>
    <col min="12" max="12" width="31.83203125" customWidth="1"/>
    <col min="13" max="13" width="27.08203125" customWidth="1"/>
    <col min="14" max="14" width="28.83203125" customWidth="1"/>
    <col min="15" max="15" width="19.9140625" customWidth="1"/>
    <col min="16" max="16" width="20.83203125" customWidth="1"/>
  </cols>
  <sheetData>
    <row r="1" spans="1:16" s="58" customFormat="1">
      <c r="A1" s="8"/>
      <c r="B1" s="8" t="s">
        <v>718</v>
      </c>
      <c r="C1" s="8" t="s">
        <v>719</v>
      </c>
      <c r="D1" s="8"/>
      <c r="E1" s="8"/>
      <c r="F1" s="8" t="s">
        <v>710</v>
      </c>
      <c r="G1" s="8" t="s">
        <v>711</v>
      </c>
      <c r="H1" s="8" t="s">
        <v>709</v>
      </c>
      <c r="I1" s="8" t="s">
        <v>708</v>
      </c>
      <c r="J1" s="8"/>
      <c r="K1" s="8" t="s">
        <v>714</v>
      </c>
      <c r="L1" s="8" t="s">
        <v>715</v>
      </c>
      <c r="M1" s="8" t="s">
        <v>712</v>
      </c>
      <c r="N1" s="8" t="s">
        <v>713</v>
      </c>
      <c r="O1" s="8" t="s">
        <v>721</v>
      </c>
      <c r="P1" s="8" t="s">
        <v>722</v>
      </c>
    </row>
    <row r="2" spans="1:16" ht="42">
      <c r="A2" s="1069" t="s">
        <v>7</v>
      </c>
      <c r="B2" s="1070" t="s">
        <v>704</v>
      </c>
      <c r="C2" s="1070" t="s">
        <v>705</v>
      </c>
      <c r="D2" s="1070"/>
      <c r="E2" s="1069"/>
      <c r="F2" s="1071" t="s">
        <v>720</v>
      </c>
      <c r="G2" s="1069" t="s">
        <v>385</v>
      </c>
      <c r="H2" s="1071" t="s">
        <v>725</v>
      </c>
      <c r="I2" s="1071" t="s">
        <v>717</v>
      </c>
      <c r="J2" s="1069"/>
      <c r="K2" s="1071" t="s">
        <v>707</v>
      </c>
      <c r="L2" s="1071" t="s">
        <v>716</v>
      </c>
      <c r="M2" s="1071" t="s">
        <v>723</v>
      </c>
      <c r="N2" s="1071" t="s">
        <v>724</v>
      </c>
      <c r="O2" s="1071" t="s">
        <v>706</v>
      </c>
      <c r="P2" s="1071" t="s">
        <v>726</v>
      </c>
    </row>
    <row r="3" spans="1:16" ht="15.5">
      <c r="A3" s="1072">
        <v>2005</v>
      </c>
      <c r="B3" s="1073"/>
      <c r="C3" s="1073"/>
      <c r="D3" s="1066"/>
      <c r="E3" s="1074"/>
      <c r="F3" s="1074"/>
      <c r="G3" s="1074"/>
      <c r="H3" s="1075"/>
      <c r="I3" s="1075"/>
      <c r="J3" s="1066"/>
      <c r="K3" s="1076"/>
      <c r="L3" s="1076"/>
      <c r="M3" s="1076"/>
      <c r="N3" s="1076"/>
      <c r="O3" s="606"/>
      <c r="P3" s="606"/>
    </row>
    <row r="4" spans="1:16" ht="15.5">
      <c r="A4" s="1072">
        <v>2006</v>
      </c>
      <c r="B4" s="1073"/>
      <c r="C4" s="1073"/>
      <c r="D4" s="1066"/>
      <c r="E4" s="1074"/>
      <c r="F4" s="1074"/>
      <c r="G4" s="1074"/>
      <c r="H4" s="1075"/>
      <c r="I4" s="1075"/>
      <c r="J4" s="1066"/>
      <c r="K4" s="1076"/>
      <c r="L4" s="1076"/>
      <c r="M4" s="1076"/>
      <c r="N4" s="1076"/>
      <c r="O4" s="606"/>
      <c r="P4" s="606"/>
    </row>
    <row r="5" spans="1:16" ht="15.5">
      <c r="A5" s="1072">
        <v>2007</v>
      </c>
      <c r="B5" s="1073"/>
      <c r="C5" s="1073"/>
      <c r="D5" s="1066"/>
      <c r="E5" s="1074"/>
      <c r="F5" s="1074"/>
      <c r="G5" s="1074"/>
      <c r="H5" s="1075"/>
      <c r="I5" s="1075"/>
      <c r="J5" s="1066"/>
      <c r="K5" s="1076"/>
      <c r="L5" s="1076"/>
      <c r="M5" s="1076"/>
      <c r="N5" s="1076"/>
      <c r="O5" s="606"/>
      <c r="P5" s="606"/>
    </row>
    <row r="6" spans="1:16" ht="15.5">
      <c r="A6" s="1072">
        <v>2008</v>
      </c>
      <c r="B6" s="1073"/>
      <c r="C6" s="1073"/>
      <c r="D6" s="1066"/>
      <c r="E6" s="1074"/>
      <c r="F6" s="1074"/>
      <c r="G6" s="1074"/>
      <c r="H6" s="1075"/>
      <c r="I6" s="1075"/>
      <c r="J6" s="1066"/>
      <c r="K6" s="1076"/>
      <c r="L6" s="1076"/>
      <c r="M6" s="1076"/>
      <c r="N6" s="1076"/>
      <c r="O6" s="606"/>
      <c r="P6" s="606"/>
    </row>
    <row r="7" spans="1:16" ht="15.5">
      <c r="A7" s="1072">
        <v>2009</v>
      </c>
      <c r="B7" s="1073"/>
      <c r="C7" s="1073"/>
      <c r="D7" s="1066"/>
      <c r="E7" s="1074"/>
      <c r="F7" s="1074"/>
      <c r="G7" s="1074"/>
      <c r="H7" s="1075"/>
      <c r="I7" s="1075"/>
      <c r="J7" s="1066"/>
      <c r="K7" s="1076"/>
      <c r="L7" s="1076"/>
      <c r="M7" s="1076"/>
      <c r="N7" s="1076"/>
      <c r="O7" s="606"/>
      <c r="P7" s="606"/>
    </row>
    <row r="8" spans="1:16" ht="15.5">
      <c r="A8" s="1072">
        <v>2010</v>
      </c>
      <c r="B8" s="1073"/>
      <c r="C8" s="1073"/>
      <c r="D8" s="1066"/>
      <c r="E8" s="1074"/>
      <c r="F8" s="1074"/>
      <c r="G8" s="1074"/>
      <c r="H8" s="1075"/>
      <c r="I8" s="1075"/>
      <c r="J8" s="1066"/>
      <c r="K8" s="1076"/>
      <c r="L8" s="1076"/>
      <c r="M8" s="1076"/>
      <c r="N8" s="1076"/>
      <c r="O8" s="606"/>
      <c r="P8" s="606"/>
    </row>
    <row r="9" spans="1:16" ht="15.5">
      <c r="A9" s="1072">
        <v>2011</v>
      </c>
      <c r="B9" s="1073"/>
      <c r="C9" s="1073"/>
      <c r="D9" s="1066"/>
      <c r="E9" s="1074"/>
      <c r="F9" s="1074"/>
      <c r="G9" s="1074"/>
      <c r="H9" s="1075"/>
      <c r="I9" s="1075"/>
      <c r="J9" s="1066"/>
      <c r="K9" s="1076"/>
      <c r="L9" s="1076"/>
      <c r="M9" s="1076"/>
      <c r="N9" s="1076"/>
      <c r="O9" s="606"/>
      <c r="P9" s="606"/>
    </row>
    <row r="10" spans="1:16" ht="15.5">
      <c r="A10" s="1072">
        <v>2012</v>
      </c>
      <c r="B10" s="1073"/>
      <c r="C10" s="1073"/>
      <c r="D10" s="1066"/>
      <c r="E10" s="1074"/>
      <c r="F10" s="1074"/>
      <c r="G10" s="1074"/>
      <c r="H10" s="1075"/>
      <c r="I10" s="1075"/>
      <c r="J10" s="1066"/>
      <c r="K10" s="1076"/>
      <c r="L10" s="1076"/>
      <c r="M10" s="1076"/>
      <c r="N10" s="1076"/>
      <c r="O10" s="606"/>
      <c r="P10" s="606"/>
    </row>
    <row r="11" spans="1:16" ht="15.5">
      <c r="A11" s="1072">
        <v>2013</v>
      </c>
      <c r="B11" s="1073"/>
      <c r="C11" s="1073"/>
      <c r="D11" s="1066"/>
      <c r="E11" s="1074"/>
      <c r="F11" s="1074"/>
      <c r="G11" s="1074"/>
      <c r="H11" s="1075"/>
      <c r="I11" s="1075"/>
      <c r="J11" s="1066"/>
      <c r="K11" s="1076"/>
      <c r="L11" s="1076"/>
      <c r="M11" s="1076"/>
      <c r="N11" s="1076"/>
      <c r="O11" s="606"/>
      <c r="P11" s="606"/>
    </row>
    <row r="12" spans="1:16" ht="15.5">
      <c r="A12" s="1072">
        <v>2014</v>
      </c>
      <c r="B12" s="1073"/>
      <c r="C12" s="1073"/>
      <c r="D12" s="1066"/>
      <c r="E12" s="1074"/>
      <c r="F12" s="1074"/>
      <c r="G12" s="1074"/>
      <c r="H12" s="1075"/>
      <c r="I12" s="1075"/>
      <c r="J12" s="1066"/>
      <c r="K12" s="1076"/>
      <c r="L12" s="1076"/>
      <c r="M12" s="1076"/>
      <c r="N12" s="1076"/>
      <c r="O12" s="606"/>
      <c r="P12" s="606"/>
    </row>
    <row r="13" spans="1:16" ht="15.5">
      <c r="A13" s="1072">
        <v>2015</v>
      </c>
      <c r="B13" s="1073"/>
      <c r="C13" s="1073"/>
      <c r="D13" s="1066"/>
      <c r="E13" s="1074"/>
      <c r="F13" s="1074"/>
      <c r="G13" s="1074"/>
      <c r="H13" s="1075"/>
      <c r="I13" s="1075"/>
      <c r="J13" s="1066"/>
      <c r="K13" s="1076"/>
      <c r="L13" s="1076"/>
      <c r="M13" s="1076"/>
      <c r="N13" s="1076"/>
      <c r="O13" s="606"/>
      <c r="P13" s="606"/>
    </row>
    <row r="14" spans="1:16" ht="15.5">
      <c r="A14" s="1072">
        <v>2016</v>
      </c>
      <c r="B14" s="1073"/>
      <c r="C14" s="1073"/>
      <c r="D14" s="1066"/>
      <c r="E14" s="1074"/>
      <c r="F14" s="1074"/>
      <c r="G14" s="1074"/>
      <c r="H14" s="1075"/>
      <c r="I14" s="1075"/>
      <c r="J14" s="1066"/>
      <c r="K14" s="1076"/>
      <c r="L14" s="1076"/>
      <c r="M14" s="1076"/>
      <c r="N14" s="1076"/>
      <c r="O14" s="606"/>
      <c r="P14" s="606"/>
    </row>
    <row r="15" spans="1:16" ht="15.5">
      <c r="A15" s="1072">
        <v>2017</v>
      </c>
      <c r="B15" s="1073">
        <f>Forecast!M85</f>
        <v>591175.85452811304</v>
      </c>
      <c r="C15" s="1073">
        <f>Forecast!D85</f>
        <v>591175.85452811304</v>
      </c>
      <c r="D15" s="1077">
        <f>1000*('Chart Areas'!E15-0)/('Chart Areas'!$E$48-0)</f>
        <v>21.119324181626187</v>
      </c>
      <c r="E15" s="1074">
        <v>1</v>
      </c>
      <c r="F15" s="1074">
        <f>C15</f>
        <v>591175.85452811304</v>
      </c>
      <c r="G15" s="1074">
        <f>Forecast!E85</f>
        <v>591175.85452811304</v>
      </c>
      <c r="H15" s="1075">
        <f>G15</f>
        <v>591175.85452811304</v>
      </c>
      <c r="I15" s="1075">
        <f>Forecast!G85</f>
        <v>591175.85452811304</v>
      </c>
      <c r="J15" s="1078">
        <f>D15</f>
        <v>21.119324181626187</v>
      </c>
      <c r="K15" s="1076">
        <f t="shared" ref="K15:K48" si="0">I15</f>
        <v>591175.85452811304</v>
      </c>
      <c r="L15" s="1076">
        <f>H15-I15</f>
        <v>0</v>
      </c>
      <c r="M15" s="1076">
        <f>H15-G15</f>
        <v>0</v>
      </c>
      <c r="N15" s="1076">
        <f>F15-G15</f>
        <v>0</v>
      </c>
      <c r="O15" s="1084">
        <f>F15-C15</f>
        <v>0</v>
      </c>
      <c r="P15" s="1084">
        <f>B15-C15</f>
        <v>0</v>
      </c>
    </row>
    <row r="16" spans="1:16" ht="15.5">
      <c r="A16" s="1072">
        <v>2018</v>
      </c>
      <c r="B16" s="1075">
        <f>Forecast!C86</f>
        <v>593859.39482943667</v>
      </c>
      <c r="C16" s="1073">
        <f>Forecast!D86</f>
        <v>593721.95936610759</v>
      </c>
      <c r="D16" s="1077">
        <f>1000*('Chart Areas'!E16-0)/('Chart Areas'!$E$48-0)</f>
        <v>63.357972544878564</v>
      </c>
      <c r="E16" s="1074">
        <v>3</v>
      </c>
      <c r="F16" s="1074">
        <f t="shared" ref="F16:F48" si="1">C16</f>
        <v>593721.95936610759</v>
      </c>
      <c r="G16" s="1074">
        <f>Forecast!E86</f>
        <v>574769.26091707894</v>
      </c>
      <c r="H16" s="1075">
        <f t="shared" ref="H16:H48" si="2">G16</f>
        <v>574769.26091707894</v>
      </c>
      <c r="I16" s="1075">
        <f>Forecast!G86</f>
        <v>566648.80800175469</v>
      </c>
      <c r="J16" s="1066">
        <f t="shared" ref="J16:J48" si="3">D16</f>
        <v>63.357972544878564</v>
      </c>
      <c r="K16" s="1076">
        <f t="shared" si="0"/>
        <v>566648.80800175469</v>
      </c>
      <c r="L16" s="1076">
        <f t="shared" ref="L16:L47" si="4">H16-I16</f>
        <v>8120.4529153242474</v>
      </c>
      <c r="M16" s="1076">
        <f t="shared" ref="M16:M48" si="5">F16-C16</f>
        <v>0</v>
      </c>
      <c r="N16" s="1076">
        <f t="shared" ref="N16:N48" si="6">F16-G16</f>
        <v>18952.698449028656</v>
      </c>
      <c r="O16" s="1084">
        <f t="shared" ref="O16:O48" si="7">F16-C16</f>
        <v>0</v>
      </c>
      <c r="P16" s="1084">
        <f t="shared" ref="P16:P48" si="8">B16-C16</f>
        <v>137.43546332907863</v>
      </c>
    </row>
    <row r="17" spans="1:16" ht="15.5">
      <c r="A17" s="1072">
        <v>2019</v>
      </c>
      <c r="B17" s="1075">
        <f>Forecast!C87</f>
        <v>596555.11659672111</v>
      </c>
      <c r="C17" s="1073">
        <f>Forecast!D87</f>
        <v>596279.02989188593</v>
      </c>
      <c r="D17" s="1077">
        <f>1000*('Chart Areas'!E17-0)/('Chart Areas'!$E$48-0)</f>
        <v>73.917634635691655</v>
      </c>
      <c r="E17" s="1074">
        <v>3.5</v>
      </c>
      <c r="F17" s="1074">
        <f t="shared" si="1"/>
        <v>596279.02989188593</v>
      </c>
      <c r="G17" s="1074">
        <f>Forecast!E87</f>
        <v>558817.99089860334</v>
      </c>
      <c r="H17" s="1075">
        <f t="shared" si="2"/>
        <v>558817.99089860334</v>
      </c>
      <c r="I17" s="1075">
        <f>Forecast!G87</f>
        <v>543139.35379872681</v>
      </c>
      <c r="J17" s="1066">
        <f t="shared" si="3"/>
        <v>73.917634635691655</v>
      </c>
      <c r="K17" s="1076">
        <f t="shared" si="0"/>
        <v>543139.35379872681</v>
      </c>
      <c r="L17" s="1076">
        <f t="shared" si="4"/>
        <v>15678.637099876534</v>
      </c>
      <c r="M17" s="1076">
        <f t="shared" si="5"/>
        <v>0</v>
      </c>
      <c r="N17" s="1076">
        <f t="shared" si="6"/>
        <v>37461.038993282593</v>
      </c>
      <c r="O17" s="1084">
        <f t="shared" si="7"/>
        <v>0</v>
      </c>
      <c r="P17" s="1084">
        <f t="shared" si="8"/>
        <v>276.08670483517926</v>
      </c>
    </row>
    <row r="18" spans="1:16" ht="15.5">
      <c r="A18" s="1072">
        <v>2020</v>
      </c>
      <c r="B18" s="1075">
        <f>Forecast!C88</f>
        <v>599263.07512561919</v>
      </c>
      <c r="C18" s="1073">
        <f>Forecast!D88</f>
        <v>598847.11333300383</v>
      </c>
      <c r="D18" s="1077">
        <f>1000*('Chart Areas'!E18-0)/('Chart Areas'!$E$48-0)</f>
        <v>116.15628299894404</v>
      </c>
      <c r="E18" s="1074">
        <v>5.5</v>
      </c>
      <c r="F18" s="1074">
        <f t="shared" si="1"/>
        <v>598847.11333300383</v>
      </c>
      <c r="G18" s="1074">
        <f>Forecast!E88</f>
        <v>543309.40811569139</v>
      </c>
      <c r="H18" s="1075">
        <f t="shared" si="2"/>
        <v>543309.40811569139</v>
      </c>
      <c r="I18" s="1075">
        <f>Forecast!G88</f>
        <v>520605.27345887409</v>
      </c>
      <c r="J18" s="1066">
        <f t="shared" si="3"/>
        <v>116.15628299894404</v>
      </c>
      <c r="K18" s="1076">
        <f t="shared" si="0"/>
        <v>520605.27345887409</v>
      </c>
      <c r="L18" s="1076">
        <f t="shared" si="4"/>
        <v>22704.134656817303</v>
      </c>
      <c r="M18" s="1076">
        <f t="shared" si="5"/>
        <v>0</v>
      </c>
      <c r="N18" s="1076">
        <f t="shared" si="6"/>
        <v>55537.705217312439</v>
      </c>
      <c r="O18" s="1084">
        <f t="shared" si="7"/>
        <v>0</v>
      </c>
      <c r="P18" s="1084">
        <f t="shared" si="8"/>
        <v>415.96179261535872</v>
      </c>
    </row>
    <row r="19" spans="1:16" ht="15.5">
      <c r="A19" s="1072">
        <v>2021</v>
      </c>
      <c r="B19" s="1075">
        <f>Forecast!C89</f>
        <v>601325.71721995983</v>
      </c>
      <c r="C19" s="1073">
        <f>Forecast!D89</f>
        <v>584115.39076010813</v>
      </c>
      <c r="D19" s="1077">
        <f>1000*('Chart Areas'!E19-0)/('Chart Areas'!$E$48-0)</f>
        <v>142.55543822597676</v>
      </c>
      <c r="E19" s="1074">
        <v>6.75</v>
      </c>
      <c r="F19" s="1074">
        <f t="shared" si="1"/>
        <v>584115.39076010813</v>
      </c>
      <c r="G19" s="1074">
        <f>Forecast!E89</f>
        <v>528455.02778170269</v>
      </c>
      <c r="H19" s="1075">
        <f t="shared" si="2"/>
        <v>528455.02778170269</v>
      </c>
      <c r="I19" s="1075">
        <f>Forecast!G89</f>
        <v>499362.06057654478</v>
      </c>
      <c r="J19" s="1066">
        <f t="shared" si="3"/>
        <v>142.55543822597676</v>
      </c>
      <c r="K19" s="1076">
        <f t="shared" si="0"/>
        <v>499362.06057654478</v>
      </c>
      <c r="L19" s="1076">
        <f t="shared" si="4"/>
        <v>29092.967205157911</v>
      </c>
      <c r="M19" s="1076">
        <f t="shared" si="5"/>
        <v>0</v>
      </c>
      <c r="N19" s="1076">
        <f t="shared" si="6"/>
        <v>55660.362978405436</v>
      </c>
      <c r="O19" s="1084">
        <f t="shared" si="7"/>
        <v>0</v>
      </c>
      <c r="P19" s="1084">
        <f t="shared" si="8"/>
        <v>17210.326459851698</v>
      </c>
    </row>
    <row r="20" spans="1:16" ht="15.5">
      <c r="A20" s="1072">
        <v>2022</v>
      </c>
      <c r="B20" s="1075">
        <f>Forecast!C90</f>
        <v>603395.4588546959</v>
      </c>
      <c r="C20" s="1073">
        <f>Forecast!D90</f>
        <v>569746.07061870594</v>
      </c>
      <c r="D20" s="1077">
        <f>1000*('Chart Areas'!E20-0)/('Chart Areas'!$E$48-0)</f>
        <v>172.12249208025344</v>
      </c>
      <c r="E20" s="1074">
        <v>8.15</v>
      </c>
      <c r="F20" s="1074">
        <f t="shared" si="1"/>
        <v>569746.07061870594</v>
      </c>
      <c r="G20" s="1074">
        <f>Forecast!E90</f>
        <v>514006.77443872648</v>
      </c>
      <c r="H20" s="1075">
        <f t="shared" si="2"/>
        <v>514006.77443872648</v>
      </c>
      <c r="I20" s="1075">
        <f>Forecast!G90</f>
        <v>478985.67351517902</v>
      </c>
      <c r="J20" s="1066">
        <f t="shared" si="3"/>
        <v>172.12249208025344</v>
      </c>
      <c r="K20" s="1076">
        <f t="shared" si="0"/>
        <v>478985.67351517902</v>
      </c>
      <c r="L20" s="1076">
        <f t="shared" si="4"/>
        <v>35021.100923547463</v>
      </c>
      <c r="M20" s="1076">
        <f t="shared" si="5"/>
        <v>0</v>
      </c>
      <c r="N20" s="1076">
        <f t="shared" si="6"/>
        <v>55739.296179979458</v>
      </c>
      <c r="O20" s="1084">
        <f t="shared" si="7"/>
        <v>0</v>
      </c>
      <c r="P20" s="1084">
        <f t="shared" si="8"/>
        <v>33649.388235989958</v>
      </c>
    </row>
    <row r="21" spans="1:16" ht="15.5">
      <c r="A21" s="1072">
        <v>2023</v>
      </c>
      <c r="B21" s="1075">
        <f>Forecast!C91</f>
        <v>605472.32446619181</v>
      </c>
      <c r="C21" s="1073">
        <f>Forecast!D91</f>
        <v>555730.2377583998</v>
      </c>
      <c r="D21" s="1077">
        <f>1000*('Chart Areas'!E21-0)/('Chart Areas'!$E$48-0)</f>
        <v>201.68954593453009</v>
      </c>
      <c r="E21" s="1074">
        <v>9.5500000000000007</v>
      </c>
      <c r="F21" s="1074">
        <f t="shared" si="1"/>
        <v>555730.2377583998</v>
      </c>
      <c r="G21" s="1074">
        <f>Forecast!E91</f>
        <v>499953.54434974235</v>
      </c>
      <c r="H21" s="1075">
        <f t="shared" si="2"/>
        <v>499953.54434974235</v>
      </c>
      <c r="I21" s="1075">
        <f>Forecast!G91</f>
        <v>459440.74158918182</v>
      </c>
      <c r="J21" s="1066">
        <f t="shared" si="3"/>
        <v>201.68954593453009</v>
      </c>
      <c r="K21" s="1076">
        <f t="shared" si="0"/>
        <v>459440.74158918182</v>
      </c>
      <c r="L21" s="1076">
        <f t="shared" si="4"/>
        <v>40512.802760560531</v>
      </c>
      <c r="M21" s="1076">
        <f t="shared" si="5"/>
        <v>0</v>
      </c>
      <c r="N21" s="1076">
        <f t="shared" si="6"/>
        <v>55776.693408657447</v>
      </c>
      <c r="O21" s="1084">
        <f t="shared" si="7"/>
        <v>0</v>
      </c>
      <c r="P21" s="1084">
        <f t="shared" si="8"/>
        <v>49742.086707792012</v>
      </c>
    </row>
    <row r="22" spans="1:16" ht="15.5">
      <c r="A22" s="1072">
        <v>2024</v>
      </c>
      <c r="B22" s="1075">
        <f>Forecast!C92</f>
        <v>607556.33857492101</v>
      </c>
      <c r="C22" s="1073">
        <f>Forecast!D92</f>
        <v>542059.19634273613</v>
      </c>
      <c r="D22" s="1077">
        <f>1000*('Chart Areas'!E22-0)/('Chart Areas'!$E$48-0)</f>
        <v>231.25659978880674</v>
      </c>
      <c r="E22" s="1074">
        <v>10.95</v>
      </c>
      <c r="F22" s="1074">
        <f t="shared" si="1"/>
        <v>542059.19634273613</v>
      </c>
      <c r="G22" s="1074">
        <f>Forecast!E92</f>
        <v>486284.53736005415</v>
      </c>
      <c r="H22" s="1075">
        <f t="shared" si="2"/>
        <v>486284.53736005415</v>
      </c>
      <c r="I22" s="1075">
        <f>Forecast!G92</f>
        <v>440693.33740798838</v>
      </c>
      <c r="J22" s="1066">
        <f t="shared" si="3"/>
        <v>231.25659978880674</v>
      </c>
      <c r="K22" s="1076">
        <f t="shared" si="0"/>
        <v>440693.33740798838</v>
      </c>
      <c r="L22" s="1076">
        <f t="shared" si="4"/>
        <v>45591.19995206577</v>
      </c>
      <c r="M22" s="1076">
        <f t="shared" si="5"/>
        <v>0</v>
      </c>
      <c r="N22" s="1076">
        <f t="shared" si="6"/>
        <v>55774.658982681984</v>
      </c>
      <c r="O22" s="1084">
        <f t="shared" si="7"/>
        <v>0</v>
      </c>
      <c r="P22" s="1084">
        <f t="shared" si="8"/>
        <v>65497.14223218488</v>
      </c>
    </row>
    <row r="23" spans="1:16" ht="15.5">
      <c r="A23" s="1072">
        <v>2025</v>
      </c>
      <c r="B23" s="1075">
        <f>Forecast!C93</f>
        <v>609647.5257857556</v>
      </c>
      <c r="C23" s="1073">
        <f>Forecast!D93</f>
        <v>528724.46445405215</v>
      </c>
      <c r="D23" s="1077">
        <f>1000*('Chart Areas'!E23-0)/('Chart Areas'!$E$48-0)</f>
        <v>260.82365364308339</v>
      </c>
      <c r="E23" s="1074">
        <v>12.35</v>
      </c>
      <c r="F23" s="1074">
        <f t="shared" si="1"/>
        <v>528724.46445405215</v>
      </c>
      <c r="G23" s="1074">
        <f>Forecast!E93</f>
        <v>472989.2485971807</v>
      </c>
      <c r="H23" s="1075">
        <f t="shared" si="2"/>
        <v>472989.2485971807</v>
      </c>
      <c r="I23" s="1075">
        <f>Forecast!G93</f>
        <v>422710.91798264685</v>
      </c>
      <c r="J23" s="1066">
        <f t="shared" si="3"/>
        <v>260.82365364308339</v>
      </c>
      <c r="K23" s="1076">
        <f t="shared" si="0"/>
        <v>422710.91798264685</v>
      </c>
      <c r="L23" s="1076">
        <f t="shared" si="4"/>
        <v>50278.330614533857</v>
      </c>
      <c r="M23" s="1076">
        <f t="shared" si="5"/>
        <v>0</v>
      </c>
      <c r="N23" s="1076">
        <f t="shared" si="6"/>
        <v>55735.215856871451</v>
      </c>
      <c r="O23" s="1084">
        <f t="shared" si="7"/>
        <v>0</v>
      </c>
      <c r="P23" s="1084">
        <f t="shared" si="8"/>
        <v>80923.061331703444</v>
      </c>
    </row>
    <row r="24" spans="1:16" ht="15.5">
      <c r="A24" s="1072">
        <v>2026</v>
      </c>
      <c r="B24" s="1075">
        <f>Forecast!C94</f>
        <v>611745.91078825679</v>
      </c>
      <c r="C24" s="1073">
        <f>Forecast!D94</f>
        <v>515717.76883104315</v>
      </c>
      <c r="D24" s="1077">
        <f>1000*('Chart Areas'!E24-0)/('Chart Areas'!$E$48-0)</f>
        <v>290.3907074973601</v>
      </c>
      <c r="E24" s="1074">
        <v>13.75</v>
      </c>
      <c r="F24" s="1074">
        <f t="shared" si="1"/>
        <v>515717.76883104315</v>
      </c>
      <c r="G24" s="1074">
        <f>Forecast!E94</f>
        <v>460057.46039767662</v>
      </c>
      <c r="H24" s="1075">
        <f t="shared" si="2"/>
        <v>460057.46039767662</v>
      </c>
      <c r="I24" s="1075">
        <f>Forecast!G94</f>
        <v>405462.26823553746</v>
      </c>
      <c r="J24" s="1066">
        <f t="shared" si="3"/>
        <v>290.3907074973601</v>
      </c>
      <c r="K24" s="1076">
        <f t="shared" si="0"/>
        <v>405462.26823553746</v>
      </c>
      <c r="L24" s="1076">
        <f t="shared" si="4"/>
        <v>54595.192162139167</v>
      </c>
      <c r="M24" s="1076">
        <f t="shared" si="5"/>
        <v>0</v>
      </c>
      <c r="N24" s="1076">
        <f t="shared" si="6"/>
        <v>55660.308433366532</v>
      </c>
      <c r="O24" s="1084">
        <f t="shared" si="7"/>
        <v>0</v>
      </c>
      <c r="P24" s="1084">
        <f t="shared" si="8"/>
        <v>96028.141957213636</v>
      </c>
    </row>
    <row r="25" spans="1:16" ht="15.5">
      <c r="A25" s="1072">
        <v>2027</v>
      </c>
      <c r="B25" s="1075">
        <f>Forecast!C95</f>
        <v>613851.51835696632</v>
      </c>
      <c r="C25" s="1073">
        <f>Forecast!D95</f>
        <v>503031.03973578749</v>
      </c>
      <c r="D25" s="1077">
        <f>1000*('Chart Areas'!E25-0)/('Chart Areas'!$E$48-0)</f>
        <v>319.95776135163675</v>
      </c>
      <c r="E25" s="1074">
        <v>15.15</v>
      </c>
      <c r="F25" s="1074">
        <f t="shared" si="1"/>
        <v>503031.03973578749</v>
      </c>
      <c r="G25" s="1074">
        <f>Forecast!E95</f>
        <v>447479.23445467796</v>
      </c>
      <c r="H25" s="1075">
        <f t="shared" si="2"/>
        <v>447479.23445467796</v>
      </c>
      <c r="I25" s="1075">
        <f>Forecast!G95</f>
        <v>388917.44681516808</v>
      </c>
      <c r="J25" s="1066">
        <f t="shared" si="3"/>
        <v>319.95776135163675</v>
      </c>
      <c r="K25" s="1076">
        <f t="shared" si="0"/>
        <v>388917.44681516808</v>
      </c>
      <c r="L25" s="1076">
        <f t="shared" si="4"/>
        <v>58561.787639509887</v>
      </c>
      <c r="M25" s="1076">
        <f t="shared" si="5"/>
        <v>0</v>
      </c>
      <c r="N25" s="1076">
        <f t="shared" si="6"/>
        <v>55551.805281109526</v>
      </c>
      <c r="O25" s="1084">
        <f t="shared" si="7"/>
        <v>0</v>
      </c>
      <c r="P25" s="1084">
        <f t="shared" si="8"/>
        <v>110820.47862117883</v>
      </c>
    </row>
    <row r="26" spans="1:16" ht="15.5">
      <c r="A26" s="1072">
        <v>2028</v>
      </c>
      <c r="B26" s="1075">
        <f>Forecast!C96</f>
        <v>615964.37335169897</v>
      </c>
      <c r="C26" s="1073">
        <f>Forecast!D96</f>
        <v>490656.40594704269</v>
      </c>
      <c r="D26" s="1077">
        <f>1000*('Chart Areas'!E26-0)/('Chart Areas'!$E$48-0)</f>
        <v>349.5248152059134</v>
      </c>
      <c r="E26" s="1074">
        <v>16.55</v>
      </c>
      <c r="F26" s="1074">
        <f t="shared" si="1"/>
        <v>490656.40594704269</v>
      </c>
      <c r="G26" s="1074">
        <f>Forecast!E96</f>
        <v>435244.90418013855</v>
      </c>
      <c r="H26" s="1075">
        <f t="shared" si="2"/>
        <v>435244.90418013855</v>
      </c>
      <c r="I26" s="1075">
        <f>Forecast!G96</f>
        <v>373047.73412198835</v>
      </c>
      <c r="J26" s="1066">
        <f t="shared" si="3"/>
        <v>349.5248152059134</v>
      </c>
      <c r="K26" s="1076">
        <f t="shared" si="0"/>
        <v>373047.73412198835</v>
      </c>
      <c r="L26" s="1076">
        <f t="shared" si="4"/>
        <v>62197.170058150194</v>
      </c>
      <c r="M26" s="1076">
        <f t="shared" si="5"/>
        <v>0</v>
      </c>
      <c r="N26" s="1076">
        <f t="shared" si="6"/>
        <v>55411.501766904141</v>
      </c>
      <c r="O26" s="1084">
        <f t="shared" si="7"/>
        <v>0</v>
      </c>
      <c r="P26" s="1084">
        <f t="shared" si="8"/>
        <v>125307.96740465629</v>
      </c>
    </row>
    <row r="27" spans="1:16" ht="15.5">
      <c r="A27" s="1072">
        <v>2029</v>
      </c>
      <c r="B27" s="1075">
        <f>Forecast!C97</f>
        <v>618084.5007178362</v>
      </c>
      <c r="C27" s="1073">
        <f>Forecast!D97</f>
        <v>478586.18987670739</v>
      </c>
      <c r="D27" s="1077">
        <f>1000*('Chart Areas'!E27-0)/('Chart Areas'!$E$48-0)</f>
        <v>379.09186906019005</v>
      </c>
      <c r="E27" s="1074">
        <v>17.95</v>
      </c>
      <c r="F27" s="1074">
        <f t="shared" si="1"/>
        <v>478586.18987670739</v>
      </c>
      <c r="G27" s="1074">
        <f>Forecast!E97</f>
        <v>423345.06727588689</v>
      </c>
      <c r="H27" s="1075">
        <f t="shared" si="2"/>
        <v>423345.06727588689</v>
      </c>
      <c r="I27" s="1075">
        <f>Forecast!G97</f>
        <v>357825.58245500183</v>
      </c>
      <c r="J27" s="1066">
        <f t="shared" si="3"/>
        <v>379.09186906019005</v>
      </c>
      <c r="K27" s="1076">
        <f t="shared" si="0"/>
        <v>357825.58245500183</v>
      </c>
      <c r="L27" s="1076">
        <f t="shared" si="4"/>
        <v>65519.48482088506</v>
      </c>
      <c r="M27" s="1076">
        <f t="shared" si="5"/>
        <v>0</v>
      </c>
      <c r="N27" s="1076">
        <f t="shared" si="6"/>
        <v>55241.122600820498</v>
      </c>
      <c r="O27" s="1084">
        <f t="shared" si="7"/>
        <v>0</v>
      </c>
      <c r="P27" s="1084">
        <f t="shared" si="8"/>
        <v>139498.31084112881</v>
      </c>
    </row>
    <row r="28" spans="1:16" ht="15.5">
      <c r="A28" s="1072">
        <v>2030</v>
      </c>
      <c r="B28" s="1075">
        <f>Forecast!C98</f>
        <v>620211.92548662017</v>
      </c>
      <c r="C28" s="1073">
        <f>Forecast!D98</f>
        <v>466812.90280641941</v>
      </c>
      <c r="D28" s="1077">
        <f>1000*('Chart Areas'!E28-0)/('Chart Areas'!$E$48-0)</f>
        <v>408.6589229144667</v>
      </c>
      <c r="E28" s="1074">
        <v>19.350000000000001</v>
      </c>
      <c r="F28" s="1074">
        <f t="shared" si="1"/>
        <v>466812.90280641941</v>
      </c>
      <c r="G28" s="1074">
        <f>Forecast!E98</f>
        <v>411770.57850779459</v>
      </c>
      <c r="H28" s="1075">
        <f t="shared" si="2"/>
        <v>411770.57850779459</v>
      </c>
      <c r="I28" s="1075">
        <f>Forecast!G98</f>
        <v>343224.56819263758</v>
      </c>
      <c r="J28" s="1066">
        <f t="shared" si="3"/>
        <v>408.6589229144667</v>
      </c>
      <c r="K28" s="1076">
        <f t="shared" si="0"/>
        <v>343224.56819263758</v>
      </c>
      <c r="L28" s="1076">
        <f t="shared" si="4"/>
        <v>68546.010315157007</v>
      </c>
      <c r="M28" s="1076">
        <f t="shared" si="5"/>
        <v>0</v>
      </c>
      <c r="N28" s="1076">
        <f t="shared" si="6"/>
        <v>55042.324298624822</v>
      </c>
      <c r="O28" s="1084">
        <f t="shared" si="7"/>
        <v>0</v>
      </c>
      <c r="P28" s="1084">
        <f t="shared" si="8"/>
        <v>153399.02268020075</v>
      </c>
    </row>
    <row r="29" spans="1:16" ht="15.5">
      <c r="A29" s="1072">
        <v>2031</v>
      </c>
      <c r="B29" s="1075">
        <f>Forecast!C99</f>
        <v>622502.06068543857</v>
      </c>
      <c r="C29" s="1073">
        <f>Forecast!D99</f>
        <v>460456.80702745554</v>
      </c>
      <c r="D29" s="1077">
        <f>1000*('Chart Areas'!E29-0)/('Chart Areas'!$E$48-0)</f>
        <v>438.22597676874341</v>
      </c>
      <c r="E29" s="1074">
        <v>20.75</v>
      </c>
      <c r="F29" s="1074">
        <f t="shared" si="1"/>
        <v>460456.80702745554</v>
      </c>
      <c r="G29" s="1074">
        <f>Forecast!E99</f>
        <v>407371.9062483962</v>
      </c>
      <c r="H29" s="1075">
        <f t="shared" si="2"/>
        <v>407371.9062483962</v>
      </c>
      <c r="I29" s="1075">
        <f>Forecast!G99</f>
        <v>313739.30436194758</v>
      </c>
      <c r="J29" s="1066">
        <f t="shared" si="3"/>
        <v>438.22597676874341</v>
      </c>
      <c r="K29" s="1076">
        <f t="shared" si="0"/>
        <v>313739.30436194758</v>
      </c>
      <c r="L29" s="1076">
        <f t="shared" si="4"/>
        <v>93632.601886448625</v>
      </c>
      <c r="M29" s="1076">
        <f t="shared" si="5"/>
        <v>0</v>
      </c>
      <c r="N29" s="1076">
        <f t="shared" si="6"/>
        <v>53084.900779059331</v>
      </c>
      <c r="O29" s="1084">
        <f t="shared" si="7"/>
        <v>0</v>
      </c>
      <c r="P29" s="1084">
        <f t="shared" si="8"/>
        <v>162045.25365798303</v>
      </c>
    </row>
    <row r="30" spans="1:16" ht="15.5">
      <c r="A30" s="1072">
        <v>2032</v>
      </c>
      <c r="B30" s="1075">
        <f>Forecast!C100</f>
        <v>624800.65221831528</v>
      </c>
      <c r="C30" s="1073">
        <f>Forecast!D100</f>
        <v>454187.25545776368</v>
      </c>
      <c r="D30" s="1077">
        <f>1000*('Chart Areas'!E30-0)/('Chart Areas'!$E$48-0)</f>
        <v>467.79303062302006</v>
      </c>
      <c r="E30" s="1074">
        <v>22.15</v>
      </c>
      <c r="F30" s="1074">
        <f t="shared" si="1"/>
        <v>454187.25545776368</v>
      </c>
      <c r="G30" s="1074">
        <f>Forecast!E100</f>
        <v>403020.22209027427</v>
      </c>
      <c r="H30" s="1075">
        <f t="shared" si="2"/>
        <v>403020.22209027427</v>
      </c>
      <c r="I30" s="1075">
        <f>Forecast!G100</f>
        <v>286787.01999640308</v>
      </c>
      <c r="J30" s="1066">
        <f t="shared" si="3"/>
        <v>467.79303062302006</v>
      </c>
      <c r="K30" s="1076">
        <f t="shared" si="0"/>
        <v>286787.01999640308</v>
      </c>
      <c r="L30" s="1076">
        <f t="shared" si="4"/>
        <v>116233.20209387119</v>
      </c>
      <c r="M30" s="1076">
        <f t="shared" si="5"/>
        <v>0</v>
      </c>
      <c r="N30" s="1076">
        <f t="shared" si="6"/>
        <v>51167.033367489406</v>
      </c>
      <c r="O30" s="1084">
        <f t="shared" si="7"/>
        <v>0</v>
      </c>
      <c r="P30" s="1084">
        <f t="shared" si="8"/>
        <v>170613.39676055161</v>
      </c>
    </row>
    <row r="31" spans="1:16" ht="15.5">
      <c r="A31" s="1072">
        <v>2033</v>
      </c>
      <c r="B31" s="1075">
        <f>Forecast!C101</f>
        <v>627107.73131030018</v>
      </c>
      <c r="C31" s="1073">
        <f>Forecast!D101</f>
        <v>448003.06971671229</v>
      </c>
      <c r="D31" s="1077">
        <f>1000*('Chart Areas'!E31-0)/('Chart Areas'!$E$48-0)</f>
        <v>497.36008447729671</v>
      </c>
      <c r="E31" s="1074">
        <v>23.55</v>
      </c>
      <c r="F31" s="1074">
        <f t="shared" si="1"/>
        <v>448003.06971671229</v>
      </c>
      <c r="G31" s="1074">
        <f>Forecast!E101</f>
        <v>398715.02409067628</v>
      </c>
      <c r="H31" s="1075">
        <f t="shared" si="2"/>
        <v>398715.02409067628</v>
      </c>
      <c r="I31" s="1075">
        <f>Forecast!G101</f>
        <v>262150.11538220505</v>
      </c>
      <c r="J31" s="1066">
        <f t="shared" si="3"/>
        <v>497.36008447729671</v>
      </c>
      <c r="K31" s="1076">
        <f t="shared" si="0"/>
        <v>262150.11538220505</v>
      </c>
      <c r="L31" s="1076">
        <f t="shared" si="4"/>
        <v>136564.90870847122</v>
      </c>
      <c r="M31" s="1076">
        <f t="shared" si="5"/>
        <v>0</v>
      </c>
      <c r="N31" s="1076">
        <f t="shared" si="6"/>
        <v>49288.045626036008</v>
      </c>
      <c r="O31" s="1084">
        <f t="shared" si="7"/>
        <v>0</v>
      </c>
      <c r="P31" s="1084">
        <f t="shared" si="8"/>
        <v>179104.66159358789</v>
      </c>
    </row>
    <row r="32" spans="1:16" ht="15.5">
      <c r="A32" s="1072">
        <v>2034</v>
      </c>
      <c r="B32" s="1075">
        <f>Forecast!C102</f>
        <v>629423.32930174167</v>
      </c>
      <c r="C32" s="1073">
        <f>Forecast!D102</f>
        <v>441903.0874684279</v>
      </c>
      <c r="D32" s="1077">
        <f>1000*('Chart Areas'!E32-0)/('Chart Areas'!$E$48-0)</f>
        <v>526.92713833157336</v>
      </c>
      <c r="E32" s="1074">
        <v>24.95</v>
      </c>
      <c r="F32" s="1074">
        <f t="shared" si="1"/>
        <v>441903.0874684279</v>
      </c>
      <c r="G32" s="1074">
        <f>Forecast!E102</f>
        <v>394455.81566877145</v>
      </c>
      <c r="H32" s="1075">
        <f t="shared" si="2"/>
        <v>394455.81566877145</v>
      </c>
      <c r="I32" s="1075">
        <f>Forecast!G102</f>
        <v>239629.68406228899</v>
      </c>
      <c r="J32" s="1066">
        <f t="shared" si="3"/>
        <v>526.92713833157336</v>
      </c>
      <c r="K32" s="1076">
        <f t="shared" si="0"/>
        <v>239629.68406228899</v>
      </c>
      <c r="L32" s="1076">
        <f t="shared" si="4"/>
        <v>154826.13160648246</v>
      </c>
      <c r="M32" s="1076">
        <f t="shared" si="5"/>
        <v>0</v>
      </c>
      <c r="N32" s="1076">
        <f t="shared" si="6"/>
        <v>47447.271799656446</v>
      </c>
      <c r="O32" s="1084">
        <f t="shared" si="7"/>
        <v>0</v>
      </c>
      <c r="P32" s="1084">
        <f t="shared" si="8"/>
        <v>187520.24183331378</v>
      </c>
    </row>
    <row r="33" spans="1:16" ht="15.5">
      <c r="A33" s="1072">
        <v>2035</v>
      </c>
      <c r="B33" s="1075">
        <f>Forecast!C103</f>
        <v>631747.47764871269</v>
      </c>
      <c r="C33" s="1073">
        <f>Forecast!D103</f>
        <v>435886.16220333095</v>
      </c>
      <c r="D33" s="1077">
        <f>1000*('Chart Areas'!E33-0)/('Chart Areas'!$E$48-0)</f>
        <v>556.49419218585001</v>
      </c>
      <c r="E33" s="1074">
        <v>26.35</v>
      </c>
      <c r="F33" s="1074">
        <f t="shared" si="1"/>
        <v>435886.16220333095</v>
      </c>
      <c r="G33" s="1074">
        <f>Forecast!E103</f>
        <v>390242.10554837307</v>
      </c>
      <c r="H33" s="1075">
        <f t="shared" si="2"/>
        <v>390242.10554837307</v>
      </c>
      <c r="I33" s="1075">
        <f>Forecast!G103</f>
        <v>219043.9069617526</v>
      </c>
      <c r="J33" s="1066">
        <f t="shared" si="3"/>
        <v>556.49419218585001</v>
      </c>
      <c r="K33" s="1076">
        <f t="shared" si="0"/>
        <v>219043.9069617526</v>
      </c>
      <c r="L33" s="1076">
        <f t="shared" si="4"/>
        <v>171198.19858662048</v>
      </c>
      <c r="M33" s="1076">
        <f t="shared" si="5"/>
        <v>0</v>
      </c>
      <c r="N33" s="1076">
        <f t="shared" si="6"/>
        <v>45644.05665495788</v>
      </c>
      <c r="O33" s="1084">
        <f t="shared" si="7"/>
        <v>0</v>
      </c>
      <c r="P33" s="1084">
        <f t="shared" si="8"/>
        <v>195861.31544538174</v>
      </c>
    </row>
    <row r="34" spans="1:16" ht="15.5">
      <c r="A34" s="1072">
        <v>2036</v>
      </c>
      <c r="B34" s="1075">
        <f>Forecast!C104</f>
        <v>634080.20792343759</v>
      </c>
      <c r="C34" s="1073">
        <f>Forecast!D104</f>
        <v>429951.16302264581</v>
      </c>
      <c r="D34" s="1077">
        <f>1000*('Chart Areas'!E34-0)/('Chart Areas'!$E$48-0)</f>
        <v>586.06124604012666</v>
      </c>
      <c r="E34" s="1074">
        <v>27.75</v>
      </c>
      <c r="F34" s="1074">
        <f t="shared" si="1"/>
        <v>429951.16302264581</v>
      </c>
      <c r="G34" s="1074">
        <f>Forecast!E104</f>
        <v>386073.4077012724</v>
      </c>
      <c r="H34" s="1075">
        <f t="shared" si="2"/>
        <v>386073.4077012724</v>
      </c>
      <c r="I34" s="1075">
        <f>Forecast!G104</f>
        <v>200226.58446854615</v>
      </c>
      <c r="J34" s="1066">
        <f t="shared" si="3"/>
        <v>586.06124604012666</v>
      </c>
      <c r="K34" s="1076">
        <f t="shared" si="0"/>
        <v>200226.58446854615</v>
      </c>
      <c r="L34" s="1076">
        <f t="shared" si="4"/>
        <v>185846.82323272625</v>
      </c>
      <c r="M34" s="1076">
        <f t="shared" si="5"/>
        <v>0</v>
      </c>
      <c r="N34" s="1076">
        <f t="shared" si="6"/>
        <v>43877.755321373406</v>
      </c>
      <c r="O34" s="1084">
        <f t="shared" si="7"/>
        <v>0</v>
      </c>
      <c r="P34" s="1084">
        <f t="shared" si="8"/>
        <v>204129.04490079178</v>
      </c>
    </row>
    <row r="35" spans="1:16" ht="15.5">
      <c r="A35" s="1072">
        <v>2037</v>
      </c>
      <c r="B35" s="1075">
        <f>Forecast!C105</f>
        <v>636421.55181472155</v>
      </c>
      <c r="C35" s="1073">
        <f>Forecast!D105</f>
        <v>424096.97442584496</v>
      </c>
      <c r="D35" s="1077">
        <f>1000*('Chart Areas'!E35-0)/('Chart Areas'!$E$48-0)</f>
        <v>615.62829989440331</v>
      </c>
      <c r="E35" s="1074">
        <v>29.15</v>
      </c>
      <c r="F35" s="1074">
        <f t="shared" si="1"/>
        <v>424096.97442584496</v>
      </c>
      <c r="G35" s="1074">
        <f>Forecast!E105</f>
        <v>381949.24129117798</v>
      </c>
      <c r="H35" s="1075">
        <f t="shared" si="2"/>
        <v>381949.24129117798</v>
      </c>
      <c r="I35" s="1075">
        <f>Forecast!G105</f>
        <v>183025.79461815435</v>
      </c>
      <c r="J35" s="1066">
        <f t="shared" si="3"/>
        <v>615.62829989440331</v>
      </c>
      <c r="K35" s="1076">
        <f t="shared" si="0"/>
        <v>183025.79461815435</v>
      </c>
      <c r="L35" s="1076">
        <f t="shared" si="4"/>
        <v>198923.44667302363</v>
      </c>
      <c r="M35" s="1076">
        <f t="shared" si="5"/>
        <v>0</v>
      </c>
      <c r="N35" s="1076">
        <f t="shared" si="6"/>
        <v>42147.733134666982</v>
      </c>
      <c r="O35" s="1084">
        <f t="shared" si="7"/>
        <v>0</v>
      </c>
      <c r="P35" s="1084">
        <f t="shared" si="8"/>
        <v>212324.57738887658</v>
      </c>
    </row>
    <row r="36" spans="1:16" ht="15.5">
      <c r="A36" s="1072">
        <v>2038</v>
      </c>
      <c r="B36" s="1075">
        <f>Forecast!C106</f>
        <v>638771.54112838069</v>
      </c>
      <c r="C36" s="1073">
        <f>Forecast!D106</f>
        <v>418322.49610098748</v>
      </c>
      <c r="D36" s="1077">
        <f>1000*('Chart Areas'!E36-0)/('Chart Areas'!$E$48-0)</f>
        <v>645.19535374868008</v>
      </c>
      <c r="E36" s="1074">
        <v>30.55</v>
      </c>
      <c r="F36" s="1074">
        <f t="shared" si="1"/>
        <v>418322.49610098748</v>
      </c>
      <c r="G36" s="1074">
        <f>Forecast!E106</f>
        <v>377869.1306182539</v>
      </c>
      <c r="H36" s="1075">
        <f t="shared" si="2"/>
        <v>377869.1306182539</v>
      </c>
      <c r="I36" s="1075">
        <f>Forecast!G106</f>
        <v>167302.6665491022</v>
      </c>
      <c r="J36" s="1066">
        <f t="shared" si="3"/>
        <v>645.19535374868008</v>
      </c>
      <c r="K36" s="1076">
        <f t="shared" si="0"/>
        <v>167302.6665491022</v>
      </c>
      <c r="L36" s="1076">
        <f t="shared" si="4"/>
        <v>210566.4640691517</v>
      </c>
      <c r="M36" s="1076">
        <f t="shared" si="5"/>
        <v>0</v>
      </c>
      <c r="N36" s="1076">
        <f t="shared" si="6"/>
        <v>40453.365482733585</v>
      </c>
      <c r="O36" s="1084">
        <f t="shared" si="7"/>
        <v>0</v>
      </c>
      <c r="P36" s="1084">
        <f t="shared" si="8"/>
        <v>220449.04502739321</v>
      </c>
    </row>
    <row r="37" spans="1:16" ht="15.5">
      <c r="A37" s="1072">
        <v>2039</v>
      </c>
      <c r="B37" s="1075">
        <f>Forecast!C107</f>
        <v>641130.20778767439</v>
      </c>
      <c r="C37" s="1073">
        <f>Forecast!D107</f>
        <v>412626.64271791221</v>
      </c>
      <c r="D37" s="1077">
        <f>1000*('Chart Areas'!E37-0)/('Chart Areas'!$E$48-0)</f>
        <v>674.76240760295673</v>
      </c>
      <c r="E37" s="1074">
        <v>31.95</v>
      </c>
      <c r="F37" s="1074">
        <f t="shared" si="1"/>
        <v>412626.64271791221</v>
      </c>
      <c r="G37" s="1074">
        <f>Forecast!E107</f>
        <v>373832.60506425041</v>
      </c>
      <c r="H37" s="1075">
        <f t="shared" si="2"/>
        <v>373832.60506425041</v>
      </c>
      <c r="I37" s="1075">
        <f>Forecast!G107</f>
        <v>152930.25932675682</v>
      </c>
      <c r="J37" s="1066">
        <f t="shared" si="3"/>
        <v>674.76240760295673</v>
      </c>
      <c r="K37" s="1076">
        <f t="shared" si="0"/>
        <v>152930.25932675682</v>
      </c>
      <c r="L37" s="1076">
        <f t="shared" si="4"/>
        <v>220902.3457374936</v>
      </c>
      <c r="M37" s="1076">
        <f t="shared" si="5"/>
        <v>0</v>
      </c>
      <c r="N37" s="1076">
        <f t="shared" si="6"/>
        <v>38794.037653661799</v>
      </c>
      <c r="O37" s="1084">
        <f t="shared" si="7"/>
        <v>0</v>
      </c>
      <c r="P37" s="1084">
        <f t="shared" si="8"/>
        <v>228503.56506976217</v>
      </c>
    </row>
    <row r="38" spans="1:16" ht="15.5">
      <c r="A38" s="1072">
        <v>2040</v>
      </c>
      <c r="B38" s="1075">
        <f>Forecast!C108</f>
        <v>643497.58383373905</v>
      </c>
      <c r="C38" s="1073">
        <f>Forecast!D108</f>
        <v>389271.17814401304</v>
      </c>
      <c r="D38" s="1077">
        <f>1000*('Chart Areas'!E38-0)/('Chart Areas'!$E$48-0)</f>
        <v>704.32946145723338</v>
      </c>
      <c r="E38" s="1074">
        <v>33.35</v>
      </c>
      <c r="F38" s="1074">
        <f t="shared" si="1"/>
        <v>389271.17814401304</v>
      </c>
      <c r="G38" s="1074">
        <f>Forecast!E108</f>
        <v>369839.1990382208</v>
      </c>
      <c r="H38" s="1075">
        <f t="shared" si="2"/>
        <v>369839.1990382208</v>
      </c>
      <c r="I38" s="1075">
        <f>Forecast!G108</f>
        <v>184573.90853261916</v>
      </c>
      <c r="J38" s="1066">
        <f t="shared" si="3"/>
        <v>704.32946145723338</v>
      </c>
      <c r="K38" s="1076">
        <f t="shared" si="0"/>
        <v>184573.90853261916</v>
      </c>
      <c r="L38" s="1076">
        <f t="shared" si="4"/>
        <v>185265.29050560165</v>
      </c>
      <c r="M38" s="1076">
        <f t="shared" si="5"/>
        <v>0</v>
      </c>
      <c r="N38" s="1076">
        <f t="shared" si="6"/>
        <v>19431.979105792241</v>
      </c>
      <c r="O38" s="1084">
        <f t="shared" si="7"/>
        <v>0</v>
      </c>
      <c r="P38" s="1084">
        <f t="shared" si="8"/>
        <v>254226.405689726</v>
      </c>
    </row>
    <row r="39" spans="1:16" ht="15.5">
      <c r="A39" s="1072">
        <v>2041</v>
      </c>
      <c r="B39" s="1075">
        <f>Forecast!C109</f>
        <v>646089.59381669643</v>
      </c>
      <c r="C39" s="1073">
        <f>Forecast!D109</f>
        <v>383970.8857197921</v>
      </c>
      <c r="D39" s="1077">
        <f>1000*('Chart Areas'!E39-0)/('Chart Areas'!$E$48-0)</f>
        <v>733.89651531151003</v>
      </c>
      <c r="E39" s="1074">
        <v>34.75</v>
      </c>
      <c r="F39" s="1074">
        <f t="shared" si="1"/>
        <v>383970.8857197921</v>
      </c>
      <c r="G39" s="1074">
        <f>Forecast!E109</f>
        <v>368558.85318805615</v>
      </c>
      <c r="H39" s="1075">
        <f t="shared" si="2"/>
        <v>368558.85318805615</v>
      </c>
      <c r="I39" s="1075">
        <f>Forecast!G109</f>
        <v>168717.7872240436</v>
      </c>
      <c r="J39" s="1066">
        <f t="shared" si="3"/>
        <v>733.89651531151003</v>
      </c>
      <c r="K39" s="1076">
        <f t="shared" si="0"/>
        <v>168717.7872240436</v>
      </c>
      <c r="L39" s="1076">
        <f t="shared" si="4"/>
        <v>199841.06596401255</v>
      </c>
      <c r="M39" s="1076">
        <f t="shared" si="5"/>
        <v>0</v>
      </c>
      <c r="N39" s="1076">
        <f t="shared" si="6"/>
        <v>15412.032531735953</v>
      </c>
      <c r="O39" s="1084">
        <f t="shared" si="7"/>
        <v>0</v>
      </c>
      <c r="P39" s="1084">
        <f t="shared" si="8"/>
        <v>262118.70809690433</v>
      </c>
    </row>
    <row r="40" spans="1:16" ht="15.5">
      <c r="A40" s="1072">
        <v>2042</v>
      </c>
      <c r="B40" s="1075">
        <f>Forecast!C110</f>
        <v>648692.04442277434</v>
      </c>
      <c r="C40" s="1073">
        <f>Forecast!D110</f>
        <v>378742.76175128936</v>
      </c>
      <c r="D40" s="1077">
        <f>1000*('Chart Areas'!E40-0)/('Chart Areas'!$E$48-0)</f>
        <v>763.46356916578668</v>
      </c>
      <c r="E40" s="1074">
        <v>36.15</v>
      </c>
      <c r="F40" s="1074">
        <f t="shared" si="1"/>
        <v>378742.76175128936</v>
      </c>
      <c r="G40" s="1074">
        <f>Forecast!E110</f>
        <v>367282.9397655527</v>
      </c>
      <c r="H40" s="1075">
        <f t="shared" si="2"/>
        <v>367282.9397655527</v>
      </c>
      <c r="I40" s="1075">
        <f>Forecast!G110</f>
        <v>154223.81176235969</v>
      </c>
      <c r="J40" s="1066">
        <f t="shared" si="3"/>
        <v>763.46356916578668</v>
      </c>
      <c r="K40" s="1076">
        <f t="shared" si="0"/>
        <v>154223.81176235969</v>
      </c>
      <c r="L40" s="1076">
        <f t="shared" si="4"/>
        <v>213059.12800319301</v>
      </c>
      <c r="M40" s="1076">
        <f t="shared" si="5"/>
        <v>0</v>
      </c>
      <c r="N40" s="1076">
        <f t="shared" si="6"/>
        <v>11459.821985736664</v>
      </c>
      <c r="O40" s="1084">
        <f t="shared" si="7"/>
        <v>0</v>
      </c>
      <c r="P40" s="1084">
        <f t="shared" si="8"/>
        <v>269949.28267148498</v>
      </c>
    </row>
    <row r="41" spans="1:16" ht="15.5">
      <c r="A41" s="1072">
        <v>2043</v>
      </c>
      <c r="B41" s="1075">
        <f>Forecast!C111</f>
        <v>651304.97770683048</v>
      </c>
      <c r="C41" s="1073">
        <f>Forecast!D111</f>
        <v>373585.82359724957</v>
      </c>
      <c r="D41" s="1077">
        <f>1000*('Chart Areas'!E41-0)/('Chart Areas'!$E$48-0)</f>
        <v>793.03062302006333</v>
      </c>
      <c r="E41" s="1074">
        <v>37.549999999999997</v>
      </c>
      <c r="F41" s="1074">
        <f t="shared" si="1"/>
        <v>373585.82359724957</v>
      </c>
      <c r="G41" s="1074">
        <f>Forecast!E111</f>
        <v>366011.44342609489</v>
      </c>
      <c r="H41" s="1075">
        <f t="shared" si="2"/>
        <v>366011.44342609489</v>
      </c>
      <c r="I41" s="1075">
        <f>Forecast!G111</f>
        <v>140974.96479684868</v>
      </c>
      <c r="J41" s="1066">
        <f t="shared" si="3"/>
        <v>793.03062302006333</v>
      </c>
      <c r="K41" s="1076">
        <f t="shared" si="0"/>
        <v>140974.96479684868</v>
      </c>
      <c r="L41" s="1076">
        <f t="shared" si="4"/>
        <v>225036.47862924621</v>
      </c>
      <c r="M41" s="1076">
        <f t="shared" si="5"/>
        <v>0</v>
      </c>
      <c r="N41" s="1076">
        <f t="shared" si="6"/>
        <v>7574.3801711546839</v>
      </c>
      <c r="O41" s="1084">
        <f t="shared" si="7"/>
        <v>0</v>
      </c>
      <c r="P41" s="1084">
        <f t="shared" si="8"/>
        <v>277719.15410958091</v>
      </c>
    </row>
    <row r="42" spans="1:16" ht="15.5">
      <c r="A42" s="1072">
        <v>2044</v>
      </c>
      <c r="B42" s="1075">
        <f>Forecast!C112</f>
        <v>653928.43589311966</v>
      </c>
      <c r="C42" s="1073">
        <f>Forecast!D112</f>
        <v>368499.10199600045</v>
      </c>
      <c r="D42" s="1077">
        <f>1000*('Chart Areas'!E42-0)/('Chart Areas'!$E$48-0)</f>
        <v>822.59767687433998</v>
      </c>
      <c r="E42" s="1074">
        <v>38.950000000000003</v>
      </c>
      <c r="F42" s="1074">
        <f t="shared" si="1"/>
        <v>368499.10199600045</v>
      </c>
      <c r="G42" s="1074">
        <f>Forecast!E112</f>
        <v>364744.34887818852</v>
      </c>
      <c r="H42" s="1075">
        <f t="shared" si="2"/>
        <v>364744.34887818852</v>
      </c>
      <c r="I42" s="1075">
        <f>Forecast!G112</f>
        <v>128864.28154230861</v>
      </c>
      <c r="J42" s="1066">
        <f t="shared" si="3"/>
        <v>822.59767687433998</v>
      </c>
      <c r="K42" s="1076">
        <f t="shared" si="0"/>
        <v>128864.28154230861</v>
      </c>
      <c r="L42" s="1076">
        <f t="shared" si="4"/>
        <v>235880.0673358799</v>
      </c>
      <c r="M42" s="1076">
        <f t="shared" si="5"/>
        <v>0</v>
      </c>
      <c r="N42" s="1076">
        <f t="shared" si="6"/>
        <v>3754.7531178119243</v>
      </c>
      <c r="O42" s="1084">
        <f t="shared" si="7"/>
        <v>0</v>
      </c>
      <c r="P42" s="1084">
        <f t="shared" si="8"/>
        <v>285429.33389711921</v>
      </c>
    </row>
    <row r="43" spans="1:16" ht="15.5">
      <c r="A43" s="1072">
        <v>2045</v>
      </c>
      <c r="B43" s="1075">
        <f>Forecast!C113</f>
        <v>656562.4613759761</v>
      </c>
      <c r="C43" s="1073">
        <f>Forecast!D113</f>
        <v>363481.640883277</v>
      </c>
      <c r="D43" s="1077">
        <f>1000*('Chart Areas'!E43-0)/('Chart Areas'!$E$48-0)</f>
        <v>852.16473072861663</v>
      </c>
      <c r="E43" s="1074">
        <v>40.35</v>
      </c>
      <c r="F43" s="1074">
        <f t="shared" si="1"/>
        <v>363481.640883277</v>
      </c>
      <c r="G43" s="1074">
        <f>Forecast!E113</f>
        <v>363481.640883277</v>
      </c>
      <c r="H43" s="1075">
        <f t="shared" si="2"/>
        <v>363481.640883277</v>
      </c>
      <c r="I43" s="1075">
        <f>Forecast!G113</f>
        <v>89214.777508874016</v>
      </c>
      <c r="J43" s="1066">
        <f t="shared" si="3"/>
        <v>852.16473072861663</v>
      </c>
      <c r="K43" s="1076">
        <f t="shared" si="0"/>
        <v>89214.777508874016</v>
      </c>
      <c r="L43" s="1076">
        <f t="shared" si="4"/>
        <v>274266.86337440298</v>
      </c>
      <c r="M43" s="1076">
        <f t="shared" si="5"/>
        <v>0</v>
      </c>
      <c r="N43" s="1076">
        <f t="shared" si="6"/>
        <v>0</v>
      </c>
      <c r="O43" s="1084">
        <f t="shared" si="7"/>
        <v>0</v>
      </c>
      <c r="P43" s="1084">
        <f t="shared" si="8"/>
        <v>293080.8204926991</v>
      </c>
    </row>
    <row r="44" spans="1:16" ht="15.5">
      <c r="A44" s="1072">
        <v>2046</v>
      </c>
      <c r="B44" s="1075">
        <f>Forecast!C114</f>
        <v>659282.193498004</v>
      </c>
      <c r="C44" s="1073">
        <f>Forecast!D114</f>
        <v>356781.50760052062</v>
      </c>
      <c r="D44" s="1077">
        <f>1000*('Chart Areas'!E44-0)/('Chart Areas'!$E$48-0)</f>
        <v>881.73178458289328</v>
      </c>
      <c r="E44" s="1074">
        <v>41.75</v>
      </c>
      <c r="F44" s="1074">
        <f t="shared" si="1"/>
        <v>356781.50760052062</v>
      </c>
      <c r="G44" s="1074">
        <f>Forecast!E114</f>
        <v>356781.50760052062</v>
      </c>
      <c r="H44" s="1075">
        <f t="shared" si="2"/>
        <v>356781.50760052062</v>
      </c>
      <c r="I44" s="1075">
        <f>Forecast!G114</f>
        <v>52418.11209343942</v>
      </c>
      <c r="J44" s="1066">
        <f t="shared" si="3"/>
        <v>881.73178458289328</v>
      </c>
      <c r="K44" s="1076">
        <f t="shared" si="0"/>
        <v>52418.11209343942</v>
      </c>
      <c r="L44" s="1076">
        <f t="shared" si="4"/>
        <v>304363.39550708118</v>
      </c>
      <c r="M44" s="1076">
        <f t="shared" si="5"/>
        <v>0</v>
      </c>
      <c r="N44" s="1076">
        <f t="shared" si="6"/>
        <v>0</v>
      </c>
      <c r="O44" s="1084">
        <f t="shared" si="7"/>
        <v>0</v>
      </c>
      <c r="P44" s="1084">
        <f t="shared" si="8"/>
        <v>302500.68589748337</v>
      </c>
    </row>
    <row r="45" spans="1:16" ht="15.5">
      <c r="A45" s="1072">
        <v>2047</v>
      </c>
      <c r="B45" s="1075">
        <f>Forecast!C115</f>
        <v>662013.19178776268</v>
      </c>
      <c r="C45" s="1073">
        <f>Forecast!D115</f>
        <v>350204.87927910872</v>
      </c>
      <c r="D45" s="1077">
        <f>1000*('Chart Areas'!E45-0)/('Chart Areas'!$E$48-0)</f>
        <v>911.29883843716993</v>
      </c>
      <c r="E45" s="1074">
        <v>43.15</v>
      </c>
      <c r="F45" s="1074">
        <f t="shared" si="1"/>
        <v>350204.87927910872</v>
      </c>
      <c r="G45" s="1074">
        <f>Forecast!E115</f>
        <v>350204.87927910872</v>
      </c>
      <c r="H45" s="1075">
        <f t="shared" si="2"/>
        <v>350204.87927910872</v>
      </c>
      <c r="I45" s="1075">
        <f>Forecast!G115</f>
        <v>30798.243880248156</v>
      </c>
      <c r="J45" s="1066">
        <f t="shared" si="3"/>
        <v>911.29883843716993</v>
      </c>
      <c r="K45" s="1076">
        <f t="shared" si="0"/>
        <v>30798.243880248156</v>
      </c>
      <c r="L45" s="1076">
        <f t="shared" si="4"/>
        <v>319406.63539886056</v>
      </c>
      <c r="M45" s="1076">
        <f t="shared" si="5"/>
        <v>0</v>
      </c>
      <c r="N45" s="1076">
        <f t="shared" si="6"/>
        <v>0</v>
      </c>
      <c r="O45" s="1084">
        <f t="shared" si="7"/>
        <v>0</v>
      </c>
      <c r="P45" s="1084">
        <f t="shared" si="8"/>
        <v>311808.31250865397</v>
      </c>
    </row>
    <row r="46" spans="1:16" ht="15.5">
      <c r="A46" s="1072">
        <v>2048</v>
      </c>
      <c r="B46" s="1075">
        <f>Forecast!C116</f>
        <v>664755.50291401567</v>
      </c>
      <c r="C46" s="1073">
        <f>Forecast!D116</f>
        <v>343749.47932619852</v>
      </c>
      <c r="D46" s="1077">
        <f>1000*('Chart Areas'!E46-0)/('Chart Areas'!$E$48-0)</f>
        <v>940.8658922914467</v>
      </c>
      <c r="E46" s="1074">
        <v>44.55</v>
      </c>
      <c r="F46" s="1074">
        <f t="shared" si="1"/>
        <v>343749.47932619852</v>
      </c>
      <c r="G46" s="1074">
        <f>Forecast!E116</f>
        <v>343749.47932619852</v>
      </c>
      <c r="H46" s="1075">
        <f t="shared" si="2"/>
        <v>343749.47932619852</v>
      </c>
      <c r="I46" s="1075">
        <f>Forecast!G116</f>
        <v>18095.497686303737</v>
      </c>
      <c r="J46" s="1066">
        <f t="shared" si="3"/>
        <v>940.8658922914467</v>
      </c>
      <c r="K46" s="1076">
        <f t="shared" si="0"/>
        <v>18095.497686303737</v>
      </c>
      <c r="L46" s="1076">
        <f t="shared" si="4"/>
        <v>325653.98163989477</v>
      </c>
      <c r="M46" s="1076">
        <f t="shared" si="5"/>
        <v>0</v>
      </c>
      <c r="N46" s="1076">
        <f t="shared" si="6"/>
        <v>0</v>
      </c>
      <c r="O46" s="1084">
        <f t="shared" si="7"/>
        <v>0</v>
      </c>
      <c r="P46" s="1084">
        <f t="shared" si="8"/>
        <v>321006.02358781715</v>
      </c>
    </row>
    <row r="47" spans="1:16" ht="15.5">
      <c r="A47" s="1072">
        <v>2049</v>
      </c>
      <c r="B47" s="1075">
        <f>Forecast!C117</f>
        <v>667509.17373884632</v>
      </c>
      <c r="C47" s="1073">
        <f>Forecast!D117</f>
        <v>337413.07311386045</v>
      </c>
      <c r="D47" s="1077">
        <f>1000*('Chart Areas'!E47-0)/('Chart Areas'!$E$48-0)</f>
        <v>970.43294614572335</v>
      </c>
      <c r="E47" s="1074">
        <v>45.95</v>
      </c>
      <c r="F47" s="1074">
        <f t="shared" si="1"/>
        <v>337413.07311386045</v>
      </c>
      <c r="G47" s="1074">
        <f>Forecast!E117</f>
        <v>337413.07311386045</v>
      </c>
      <c r="H47" s="1075">
        <f t="shared" si="2"/>
        <v>337413.07311386045</v>
      </c>
      <c r="I47" s="1075">
        <f>Forecast!G117</f>
        <v>10632.003493063628</v>
      </c>
      <c r="J47" s="1066">
        <f t="shared" si="3"/>
        <v>970.43294614572335</v>
      </c>
      <c r="K47" s="1076">
        <f t="shared" si="0"/>
        <v>10632.003493063628</v>
      </c>
      <c r="L47" s="1076">
        <f t="shared" si="4"/>
        <v>326781.06962079683</v>
      </c>
      <c r="M47" s="1076">
        <f t="shared" si="5"/>
        <v>0</v>
      </c>
      <c r="N47" s="1076">
        <f t="shared" si="6"/>
        <v>0</v>
      </c>
      <c r="O47" s="1084">
        <f t="shared" si="7"/>
        <v>0</v>
      </c>
      <c r="P47" s="1084">
        <f t="shared" si="8"/>
        <v>330096.10062498588</v>
      </c>
    </row>
    <row r="48" spans="1:16" ht="15.5">
      <c r="A48" s="1072">
        <v>2050</v>
      </c>
      <c r="B48" s="1075">
        <f>Forecast!C118</f>
        <v>670274.25131845882</v>
      </c>
      <c r="C48" s="1073">
        <f>Forecast!D118</f>
        <v>331193.46720553003</v>
      </c>
      <c r="D48" s="1077">
        <f>1000*('Chart Areas'!E48-0)/('Chart Areas'!$E$48-0)</f>
        <v>1000</v>
      </c>
      <c r="E48" s="1074">
        <v>47.35</v>
      </c>
      <c r="F48" s="1074">
        <f t="shared" si="1"/>
        <v>331193.46720553003</v>
      </c>
      <c r="G48" s="1074">
        <f>Forecast!E118</f>
        <v>331193.46720553003</v>
      </c>
      <c r="H48" s="1075">
        <f t="shared" si="2"/>
        <v>331193.46720553003</v>
      </c>
      <c r="I48" s="1075">
        <f>Forecast!G118</f>
        <v>-6246.830025685078</v>
      </c>
      <c r="J48" s="1066">
        <f t="shared" si="3"/>
        <v>1000</v>
      </c>
      <c r="K48" s="1076">
        <f t="shared" si="0"/>
        <v>-6246.830025685078</v>
      </c>
      <c r="L48" s="1076">
        <f>H48-I48</f>
        <v>337440.29723121511</v>
      </c>
      <c r="M48" s="1076">
        <f t="shared" si="5"/>
        <v>0</v>
      </c>
      <c r="N48" s="1076">
        <f t="shared" si="6"/>
        <v>0</v>
      </c>
      <c r="O48" s="1084">
        <f t="shared" si="7"/>
        <v>0</v>
      </c>
      <c r="P48" s="1084">
        <f t="shared" si="8"/>
        <v>339080.78411292878</v>
      </c>
    </row>
    <row r="49" spans="1:14" ht="46.5">
      <c r="A49" s="1072"/>
      <c r="B49" s="1079"/>
      <c r="C49" s="1079"/>
      <c r="D49" s="1080"/>
      <c r="E49" s="1081"/>
      <c r="F49" s="1081"/>
      <c r="G49" s="1081"/>
      <c r="H49" s="1082"/>
      <c r="I49" s="1082"/>
      <c r="J49" s="1082"/>
      <c r="K49" s="1067" t="str">
        <f>"Projected Additional Reduction with Selected City Measures: "&amp;" "&amp; TEXT($L$48,"#,000")</f>
        <v>Projected Additional Reduction with Selected City Measures:  337,440</v>
      </c>
      <c r="L49" s="1083"/>
      <c r="M49" s="1068" t="str">
        <f>"BAU w/ State Measures Emission Reduction:"&amp;" "&amp; TEXT($P$48,"#,000")</f>
        <v>BAU w/ State Measures Emission Reduction: 339,081</v>
      </c>
      <c r="N49" s="1083"/>
    </row>
    <row r="54" spans="1:14">
      <c r="K54" s="1085" t="s">
        <v>727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4D7D-0DFF-45EE-A208-F935529450EE}">
  <dimension ref="A1:J14"/>
  <sheetViews>
    <sheetView workbookViewId="0">
      <selection activeCell="M9" sqref="M9"/>
    </sheetView>
  </sheetViews>
  <sheetFormatPr defaultRowHeight="14"/>
  <cols>
    <col min="4" max="4" width="24.1640625" customWidth="1"/>
    <col min="8" max="8" width="9.08203125" customWidth="1"/>
  </cols>
  <sheetData>
    <row r="1" spans="1:10" ht="56">
      <c r="A1" s="4"/>
      <c r="B1" s="4"/>
      <c r="C1" s="4"/>
      <c r="D1" s="501" t="s">
        <v>1</v>
      </c>
      <c r="E1" s="502" t="s">
        <v>383</v>
      </c>
      <c r="F1" s="502" t="s">
        <v>471</v>
      </c>
      <c r="G1" s="502" t="s">
        <v>469</v>
      </c>
      <c r="H1" s="502" t="s">
        <v>470</v>
      </c>
      <c r="I1" s="502" t="s">
        <v>472</v>
      </c>
      <c r="J1" s="502" t="s">
        <v>473</v>
      </c>
    </row>
    <row r="2" spans="1:10" ht="15.5">
      <c r="A2" s="4"/>
      <c r="B2" s="4"/>
      <c r="C2" s="4"/>
      <c r="D2" s="500" t="s">
        <v>10</v>
      </c>
      <c r="E2" s="500">
        <f>SUM(Forecast!U132,Forecast!U134,Forecast!U136,Forecast!U149)</f>
        <v>129435.15964580941</v>
      </c>
      <c r="F2" s="500">
        <f>SUM(Forecast!AC132,Forecast!AC134,Forecast!AC136,Forecast!AC149)+Forecast!AB152</f>
        <v>30338.517655620777</v>
      </c>
      <c r="G2" s="500">
        <v>-12609.72558732337</v>
      </c>
      <c r="H2" s="500">
        <f t="shared" ref="H2:H7" si="0">SUM(F2:G2)</f>
        <v>17728.792068297407</v>
      </c>
      <c r="I2" s="504">
        <f t="shared" ref="I2:I7" si="1">H2/$H$7</f>
        <v>5.7454691175932007E-2</v>
      </c>
      <c r="J2" s="504">
        <f t="shared" ref="J2:J7" si="2">(H2-E2)/E2</f>
        <v>-0.86302954995527448</v>
      </c>
    </row>
    <row r="3" spans="1:10" ht="15.5">
      <c r="A3" s="4"/>
      <c r="B3" s="4"/>
      <c r="C3" s="4"/>
      <c r="D3" s="500" t="s">
        <v>11</v>
      </c>
      <c r="E3" s="500">
        <f>SUM(Forecast!U133,Forecast!U135,Forecast!U137)</f>
        <v>144578.50742837737</v>
      </c>
      <c r="F3" s="500">
        <f>SUM(Forecast!AC133,Forecast!AC135,Forecast!AC137)</f>
        <v>129407.4121535755</v>
      </c>
      <c r="G3" s="500">
        <v>-16630.183491167969</v>
      </c>
      <c r="H3" s="500">
        <f t="shared" si="0"/>
        <v>112777.22866240752</v>
      </c>
      <c r="I3" s="504">
        <f t="shared" si="1"/>
        <v>0.36548349258734131</v>
      </c>
      <c r="J3" s="505">
        <f t="shared" si="2"/>
        <v>-0.21995854938344733</v>
      </c>
    </row>
    <row r="4" spans="1:10" ht="15.5">
      <c r="A4" s="4"/>
      <c r="B4" s="4"/>
      <c r="C4" s="4"/>
      <c r="D4" s="500" t="s">
        <v>4</v>
      </c>
      <c r="E4" s="500">
        <f>SUM(Forecast!U139:U142)</f>
        <v>279531.4353595156</v>
      </c>
      <c r="F4" s="500">
        <f>SUM(Forecast!AC139:AC142)</f>
        <v>203073.5184700898</v>
      </c>
      <c r="G4" s="500">
        <v>-73310.503259081612</v>
      </c>
      <c r="H4" s="500">
        <f t="shared" si="0"/>
        <v>129763.01521100818</v>
      </c>
      <c r="I4" s="504">
        <f t="shared" si="1"/>
        <v>0.42053028408732612</v>
      </c>
      <c r="J4" s="505">
        <f t="shared" si="2"/>
        <v>-0.53578381964763555</v>
      </c>
    </row>
    <row r="5" spans="1:10" ht="15.5">
      <c r="A5" s="4"/>
      <c r="B5" s="4"/>
      <c r="C5" s="4"/>
      <c r="D5" s="500" t="s">
        <v>468</v>
      </c>
      <c r="E5" s="500">
        <f>SUM(Forecast!U146:U147)</f>
        <v>10937.994330630976</v>
      </c>
      <c r="F5" s="500">
        <f>SUM(Forecast!AC146:AC147)</f>
        <v>2874.3529480037132</v>
      </c>
      <c r="G5" s="500">
        <v>-650.2007689617584</v>
      </c>
      <c r="H5" s="500">
        <f t="shared" si="0"/>
        <v>2224.1521790419547</v>
      </c>
      <c r="I5" s="504">
        <f t="shared" si="1"/>
        <v>7.20793475849051E-3</v>
      </c>
      <c r="J5" s="504">
        <f t="shared" si="2"/>
        <v>-0.79665813385792361</v>
      </c>
    </row>
    <row r="6" spans="1:10" ht="15.5">
      <c r="A6" s="4"/>
      <c r="B6" s="4"/>
      <c r="C6" s="4"/>
      <c r="D6" s="500" t="s">
        <v>478</v>
      </c>
      <c r="E6" s="500">
        <f>SUM(Forecast!U143,Forecast!U144,Forecast!U145,Forecast!U148)</f>
        <v>55728.82872228678</v>
      </c>
      <c r="F6" s="500">
        <f>SUM(Forecast!AC143,Forecast!AC144,Forecast!AC145,Forecast!AC148)</f>
        <v>46076.777280504779</v>
      </c>
      <c r="G6" s="500">
        <v>0</v>
      </c>
      <c r="H6" s="500">
        <f t="shared" si="0"/>
        <v>46076.777280504779</v>
      </c>
      <c r="I6" s="504">
        <f t="shared" si="1"/>
        <v>0.14932359739091008</v>
      </c>
      <c r="J6" s="504">
        <f t="shared" si="2"/>
        <v>-0.17319673969609203</v>
      </c>
    </row>
    <row r="7" spans="1:10" ht="15.5">
      <c r="A7" s="4"/>
      <c r="B7" s="4"/>
      <c r="C7" s="4"/>
      <c r="D7" s="501" t="s">
        <v>6</v>
      </c>
      <c r="E7" s="501">
        <f>SUM(E2:E6)</f>
        <v>620211.92548662017</v>
      </c>
      <c r="F7" s="501">
        <f>SUM(F2:F6)</f>
        <v>411770.57850779453</v>
      </c>
      <c r="G7" s="501">
        <f>SUM(G2:G6)</f>
        <v>-103200.61310653471</v>
      </c>
      <c r="H7" s="506">
        <f t="shared" si="0"/>
        <v>308569.96540125983</v>
      </c>
      <c r="I7" s="503">
        <f t="shared" si="1"/>
        <v>1</v>
      </c>
      <c r="J7" s="503">
        <f t="shared" si="2"/>
        <v>-0.5024765685388024</v>
      </c>
    </row>
    <row r="8" spans="1:10" ht="15.5">
      <c r="A8" s="4"/>
      <c r="B8" s="4"/>
      <c r="C8" s="4"/>
      <c r="D8" s="4"/>
      <c r="E8" s="4"/>
      <c r="F8" s="4"/>
      <c r="G8" s="163">
        <f>SUM(G7,Forecast!AB150)</f>
        <v>-158242.93740515952</v>
      </c>
      <c r="H8" s="163">
        <v>326482.11</v>
      </c>
      <c r="I8" s="4"/>
      <c r="J8" s="4"/>
    </row>
    <row r="9" spans="1:10" ht="15.5">
      <c r="A9" s="4"/>
      <c r="B9" s="4"/>
      <c r="C9" s="4"/>
      <c r="D9" s="4"/>
      <c r="E9" s="4"/>
      <c r="F9" s="4"/>
      <c r="G9" s="4"/>
      <c r="H9" s="4"/>
      <c r="I9" s="498"/>
      <c r="J9" s="4"/>
    </row>
    <row r="10" spans="1:10" ht="15.5">
      <c r="A10" s="163">
        <f>SUM(Forecast!T133,Forecast!T135,Forecast!T137)</f>
        <v>27198906.506956384</v>
      </c>
      <c r="B10" s="4" t="s">
        <v>475</v>
      </c>
      <c r="C10" s="4"/>
      <c r="D10" s="4"/>
      <c r="E10" s="4"/>
      <c r="F10" s="4"/>
      <c r="G10" s="4"/>
      <c r="H10" s="163">
        <f>H7-H8</f>
        <v>-17912.144598740153</v>
      </c>
      <c r="I10" s="4"/>
      <c r="J10" s="4"/>
    </row>
    <row r="11" spans="1:10" ht="15.5">
      <c r="A11" s="163">
        <f>SUM(Forecast!W133,Forecast!W135,Forecast!W137)</f>
        <v>24344836.359691381</v>
      </c>
      <c r="B11" s="4" t="s">
        <v>476</v>
      </c>
      <c r="C11" s="4"/>
      <c r="D11" s="4"/>
      <c r="E11" s="4"/>
      <c r="F11" s="4"/>
      <c r="G11" s="4"/>
      <c r="H11" s="4"/>
      <c r="I11" s="4"/>
      <c r="J11" s="4"/>
    </row>
    <row r="12" spans="1:10" ht="15.5">
      <c r="A12" s="4">
        <v>-2894181.0131648253</v>
      </c>
      <c r="B12" s="4" t="s">
        <v>374</v>
      </c>
      <c r="C12" s="4"/>
      <c r="D12" s="4"/>
      <c r="E12" s="4"/>
      <c r="F12" s="4"/>
      <c r="G12" s="4"/>
      <c r="H12" s="4"/>
      <c r="I12" s="4"/>
      <c r="J12" s="4"/>
    </row>
    <row r="13" spans="1:10" ht="15.5">
      <c r="A13" s="163">
        <f>SUM(A11:A12)</f>
        <v>21450655.346526556</v>
      </c>
      <c r="B13" s="4" t="s">
        <v>477</v>
      </c>
      <c r="C13" s="4"/>
      <c r="D13" s="4"/>
      <c r="E13" s="4"/>
      <c r="F13" s="4"/>
      <c r="G13" s="4"/>
      <c r="H13" s="4"/>
      <c r="I13" s="4"/>
      <c r="J13" s="4"/>
    </row>
    <row r="14" spans="1:10" ht="15.5">
      <c r="A14" s="4">
        <f>(A13-A10)/A10</f>
        <v>-0.21134125958187536</v>
      </c>
      <c r="B14" s="4"/>
      <c r="C14" s="4"/>
      <c r="D14" s="4"/>
      <c r="E14" s="4"/>
      <c r="F14" s="4"/>
      <c r="G14" s="4"/>
      <c r="H14" s="4"/>
      <c r="I14" s="4"/>
      <c r="J14"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U275"/>
  <sheetViews>
    <sheetView showGridLines="0" zoomScaleNormal="100" workbookViewId="0">
      <selection activeCell="E96" sqref="E96"/>
    </sheetView>
  </sheetViews>
  <sheetFormatPr defaultRowHeight="14"/>
  <cols>
    <col min="1" max="1" width="2.1640625" style="11" customWidth="1"/>
    <col min="2" max="2" width="48.58203125" customWidth="1"/>
    <col min="3" max="3" width="28.4140625" customWidth="1"/>
    <col min="4" max="4" width="17.4140625" customWidth="1"/>
    <col min="5" max="5" width="19.08203125" customWidth="1"/>
    <col min="6" max="7" width="17.4140625" customWidth="1"/>
    <col min="8" max="8" width="24.08203125" customWidth="1"/>
    <col min="9" max="9" width="12.6640625" customWidth="1"/>
    <col min="11" max="11" width="9.08203125" customWidth="1"/>
  </cols>
  <sheetData>
    <row r="1" spans="2:5" s="11" customFormat="1" ht="10.5" customHeight="1" thickBot="1"/>
    <row r="2" spans="2:5" s="11" customFormat="1" ht="51" customHeight="1" thickBot="1">
      <c r="B2" s="1209" t="s">
        <v>98</v>
      </c>
      <c r="C2" s="1210"/>
      <c r="D2" s="1210"/>
      <c r="E2" s="1211"/>
    </row>
    <row r="3" spans="2:5" s="58" customFormat="1" ht="14.5" thickBot="1"/>
    <row r="4" spans="2:5" s="58" customFormat="1" ht="21.75" customHeight="1" thickBot="1">
      <c r="B4" s="1087" t="s">
        <v>366</v>
      </c>
      <c r="C4" s="1214"/>
      <c r="D4" s="1208"/>
    </row>
    <row r="5" spans="2:5" s="11" customFormat="1" ht="15" customHeight="1">
      <c r="B5" s="170" t="s">
        <v>491</v>
      </c>
      <c r="C5" s="171">
        <f>SMC_EMFAC_2017!BO68</f>
        <v>24.270487359040281</v>
      </c>
      <c r="D5" s="1219" t="s">
        <v>65</v>
      </c>
    </row>
    <row r="6" spans="2:5" s="11" customFormat="1">
      <c r="B6" s="170" t="s">
        <v>67</v>
      </c>
      <c r="C6" s="171">
        <f>SMC_EMFAC_2020!BL68</f>
        <v>26.00820597091246</v>
      </c>
      <c r="D6" s="1220"/>
    </row>
    <row r="7" spans="2:5" s="11" customFormat="1">
      <c r="B7" s="170" t="s">
        <v>63</v>
      </c>
      <c r="C7" s="171">
        <f>SMC_EMFAC_2030!BK68</f>
        <v>33.343933301032571</v>
      </c>
      <c r="D7" s="1220"/>
    </row>
    <row r="8" spans="2:5" s="58" customFormat="1">
      <c r="B8" s="637" t="s">
        <v>587</v>
      </c>
      <c r="C8" s="638">
        <f>SMC_EMFAC_2040!BO70</f>
        <v>36.334518688054963</v>
      </c>
      <c r="D8" s="1220"/>
    </row>
    <row r="9" spans="2:5" s="58" customFormat="1">
      <c r="B9" s="573" t="s">
        <v>540</v>
      </c>
      <c r="C9" s="640">
        <f>SMC_EMFAC_2045!BO70</f>
        <v>36.800994495637916</v>
      </c>
      <c r="D9" s="1220"/>
    </row>
    <row r="10" spans="2:5" s="58" customFormat="1">
      <c r="B10" s="639" t="s">
        <v>588</v>
      </c>
      <c r="C10" s="638">
        <f>SMC_EMFAC_2050!BO68</f>
        <v>45.632393692439749</v>
      </c>
      <c r="D10" s="1220"/>
    </row>
    <row r="11" spans="2:5" s="11" customFormat="1" ht="30" customHeight="1">
      <c r="B11" s="180" t="s">
        <v>492</v>
      </c>
      <c r="C11" s="459">
        <f>1-(C5/C6)</f>
        <v>6.6814243697379205E-2</v>
      </c>
      <c r="D11" s="1220"/>
    </row>
    <row r="12" spans="2:5" s="11" customFormat="1" ht="28">
      <c r="B12" s="180" t="s">
        <v>493</v>
      </c>
      <c r="C12" s="459">
        <f>1-(C5/C7)</f>
        <v>0.2721168453666295</v>
      </c>
      <c r="D12" s="1220"/>
    </row>
    <row r="13" spans="2:5" s="58" customFormat="1" ht="28">
      <c r="B13" s="180" t="s">
        <v>589</v>
      </c>
      <c r="C13" s="641">
        <f>1-(C5/C8)</f>
        <v>0.33202672732749738</v>
      </c>
      <c r="D13" s="1220"/>
    </row>
    <row r="14" spans="2:5" s="58" customFormat="1" ht="28">
      <c r="B14" s="180" t="s">
        <v>539</v>
      </c>
      <c r="C14" s="497">
        <f>1-(C5/C9)</f>
        <v>0.34049370970349446</v>
      </c>
      <c r="D14" s="1220"/>
    </row>
    <row r="15" spans="2:5" s="58" customFormat="1" ht="28">
      <c r="B15" s="180" t="s">
        <v>590</v>
      </c>
      <c r="C15" s="641">
        <f>1-(C5/C10)</f>
        <v>0.46813030404185552</v>
      </c>
      <c r="D15" s="1221"/>
    </row>
    <row r="16" spans="2:5" s="11" customFormat="1">
      <c r="B16" s="170" t="s">
        <v>494</v>
      </c>
      <c r="C16" s="171">
        <f>SMC_EMFAC_2017!BO67</f>
        <v>10.406260134911967</v>
      </c>
      <c r="D16" s="1222" t="s">
        <v>66</v>
      </c>
    </row>
    <row r="17" spans="2:4" s="11" customFormat="1">
      <c r="B17" s="170" t="s">
        <v>68</v>
      </c>
      <c r="C17" s="171">
        <f>SMC_EMFAC_2020!BL67</f>
        <v>11.517741705849303</v>
      </c>
      <c r="D17" s="1220"/>
    </row>
    <row r="18" spans="2:4" s="11" customFormat="1">
      <c r="B18" s="170" t="s">
        <v>64</v>
      </c>
      <c r="C18" s="171">
        <f>SMC_EMFAC_2030!BK67</f>
        <v>14.531763322646974</v>
      </c>
      <c r="D18" s="1220"/>
    </row>
    <row r="19" spans="2:4" s="58" customFormat="1">
      <c r="B19" s="637" t="s">
        <v>592</v>
      </c>
      <c r="C19" s="638">
        <f>SMC_EMFAC_2040!BO69</f>
        <v>15.914385358654108</v>
      </c>
      <c r="D19" s="1220"/>
    </row>
    <row r="20" spans="2:4" s="58" customFormat="1">
      <c r="B20" s="170" t="s">
        <v>591</v>
      </c>
      <c r="C20" s="640">
        <f>SMC_EMFAC_2045!BO69</f>
        <v>16.158125019725659</v>
      </c>
      <c r="D20" s="1220"/>
    </row>
    <row r="21" spans="2:4" s="58" customFormat="1">
      <c r="B21" s="170" t="s">
        <v>593</v>
      </c>
      <c r="C21" s="638">
        <f>SMC_EMFAC_2050!BO67</f>
        <v>21.179766238358589</v>
      </c>
      <c r="D21" s="1220"/>
    </row>
    <row r="22" spans="2:4" s="11" customFormat="1" ht="28">
      <c r="B22" s="180" t="s">
        <v>495</v>
      </c>
      <c r="C22" s="459">
        <f>1-(C16/C17)</f>
        <v>9.6501692720966981E-2</v>
      </c>
      <c r="D22" s="1220"/>
    </row>
    <row r="23" spans="2:4" s="11" customFormat="1" ht="28">
      <c r="B23" s="180" t="s">
        <v>496</v>
      </c>
      <c r="C23" s="459">
        <f>1-(C16/C18)</f>
        <v>0.28389556698226914</v>
      </c>
      <c r="D23" s="1220"/>
    </row>
    <row r="24" spans="2:4" s="58" customFormat="1" ht="28">
      <c r="B24" s="180" t="s">
        <v>594</v>
      </c>
      <c r="C24" s="459">
        <f>1-(C16/C19)</f>
        <v>0.34610983079826385</v>
      </c>
      <c r="D24" s="1220"/>
    </row>
    <row r="25" spans="2:4" s="58" customFormat="1" ht="28">
      <c r="B25" s="180" t="s">
        <v>541</v>
      </c>
      <c r="C25" s="642">
        <f>1-(C16/C20)</f>
        <v>0.35597353515905339</v>
      </c>
      <c r="D25" s="1220"/>
    </row>
    <row r="26" spans="2:4" s="58" customFormat="1" ht="28">
      <c r="B26" s="180" t="s">
        <v>595</v>
      </c>
      <c r="C26" s="642">
        <f>1-(C16/C21)</f>
        <v>0.5086697361151592</v>
      </c>
      <c r="D26" s="1221"/>
    </row>
    <row r="27" spans="2:4" s="11" customFormat="1" ht="27.75" customHeight="1" thickBot="1">
      <c r="B27" s="1212" t="s">
        <v>497</v>
      </c>
      <c r="C27" s="1213"/>
      <c r="D27" s="450" t="s">
        <v>8</v>
      </c>
    </row>
    <row r="28" spans="2:4" s="58" customFormat="1" ht="14.5" thickBot="1"/>
    <row r="29" spans="2:4" s="58" customFormat="1" ht="27.75" customHeight="1" thickBot="1">
      <c r="B29" s="1087" t="s">
        <v>367</v>
      </c>
      <c r="C29" s="1208"/>
    </row>
    <row r="30" spans="2:4" s="58" customFormat="1" ht="28">
      <c r="B30" s="507" t="s">
        <v>7</v>
      </c>
      <c r="C30" s="508" t="s">
        <v>479</v>
      </c>
    </row>
    <row r="31" spans="2:4" s="58" customFormat="1">
      <c r="B31" s="509">
        <v>2010</v>
      </c>
      <c r="C31" s="510">
        <f>C40/(1-0.0625)</f>
        <v>100.44800000000001</v>
      </c>
    </row>
    <row r="32" spans="2:4" s="58" customFormat="1">
      <c r="B32" s="509">
        <v>2011</v>
      </c>
      <c r="C32" s="511">
        <f>C31+((C$40-C$31)/9)</f>
        <v>99.750444444444454</v>
      </c>
    </row>
    <row r="33" spans="2:3" s="58" customFormat="1">
      <c r="B33" s="509">
        <v>2012</v>
      </c>
      <c r="C33" s="511">
        <f t="shared" ref="C33:C39" si="0">C32+((C$40-C$31)/9)</f>
        <v>99.052888888888901</v>
      </c>
    </row>
    <row r="34" spans="2:3" s="58" customFormat="1">
      <c r="B34" s="509">
        <v>2013</v>
      </c>
      <c r="C34" s="511">
        <f t="shared" si="0"/>
        <v>98.355333333333348</v>
      </c>
    </row>
    <row r="35" spans="2:3" s="58" customFormat="1">
      <c r="B35" s="509">
        <v>2014</v>
      </c>
      <c r="C35" s="511">
        <f t="shared" si="0"/>
        <v>97.657777777777795</v>
      </c>
    </row>
    <row r="36" spans="2:3" s="58" customFormat="1">
      <c r="B36" s="509">
        <v>2015</v>
      </c>
      <c r="C36" s="511">
        <f t="shared" si="0"/>
        <v>96.960222222222242</v>
      </c>
    </row>
    <row r="37" spans="2:3" s="58" customFormat="1">
      <c r="B37" s="509">
        <v>2016</v>
      </c>
      <c r="C37" s="511">
        <f t="shared" si="0"/>
        <v>96.262666666666689</v>
      </c>
    </row>
    <row r="38" spans="2:3" s="58" customFormat="1">
      <c r="B38" s="509">
        <v>2017</v>
      </c>
      <c r="C38" s="511">
        <f t="shared" si="0"/>
        <v>95.565111111111136</v>
      </c>
    </row>
    <row r="39" spans="2:3" s="58" customFormat="1">
      <c r="B39" s="509">
        <v>2018</v>
      </c>
      <c r="C39" s="511">
        <f t="shared" si="0"/>
        <v>94.867555555555583</v>
      </c>
    </row>
    <row r="40" spans="2:3" s="58" customFormat="1">
      <c r="B40" s="509">
        <v>2019</v>
      </c>
      <c r="C40" s="510">
        <v>94.17</v>
      </c>
    </row>
    <row r="41" spans="2:3" s="58" customFormat="1">
      <c r="B41" s="509">
        <v>2020</v>
      </c>
      <c r="C41" s="510">
        <v>92.92</v>
      </c>
    </row>
    <row r="42" spans="2:3" s="58" customFormat="1">
      <c r="B42" s="509">
        <v>2021</v>
      </c>
      <c r="C42" s="510">
        <v>91.66</v>
      </c>
    </row>
    <row r="43" spans="2:3" s="58" customFormat="1">
      <c r="B43" s="509">
        <v>2022</v>
      </c>
      <c r="C43" s="510">
        <v>90.41</v>
      </c>
    </row>
    <row r="44" spans="2:3" s="58" customFormat="1">
      <c r="B44" s="509">
        <v>2023</v>
      </c>
      <c r="C44" s="510">
        <v>89.15</v>
      </c>
    </row>
    <row r="45" spans="2:3" s="58" customFormat="1">
      <c r="B45" s="509">
        <v>2024</v>
      </c>
      <c r="C45" s="510">
        <v>87.89</v>
      </c>
    </row>
    <row r="46" spans="2:3" s="58" customFormat="1">
      <c r="B46" s="509">
        <v>2025</v>
      </c>
      <c r="C46" s="510">
        <v>86.64</v>
      </c>
    </row>
    <row r="47" spans="2:3" s="58" customFormat="1">
      <c r="B47" s="509">
        <v>2026</v>
      </c>
      <c r="C47" s="510">
        <v>85.38</v>
      </c>
    </row>
    <row r="48" spans="2:3" s="58" customFormat="1">
      <c r="B48" s="509">
        <v>2027</v>
      </c>
      <c r="C48" s="510">
        <v>84.13</v>
      </c>
    </row>
    <row r="49" spans="2:11" s="58" customFormat="1">
      <c r="B49" s="509">
        <v>2028</v>
      </c>
      <c r="C49" s="510">
        <v>82.87</v>
      </c>
    </row>
    <row r="50" spans="2:11" s="58" customFormat="1">
      <c r="B50" s="509">
        <v>2029</v>
      </c>
      <c r="C50" s="510">
        <v>81.62</v>
      </c>
    </row>
    <row r="51" spans="2:11" s="58" customFormat="1">
      <c r="B51" s="509">
        <v>2030</v>
      </c>
      <c r="C51" s="510">
        <v>80.36</v>
      </c>
    </row>
    <row r="52" spans="2:11" s="58" customFormat="1">
      <c r="B52" s="509">
        <v>2035</v>
      </c>
      <c r="C52" s="510">
        <v>80.36</v>
      </c>
    </row>
    <row r="53" spans="2:11" s="58" customFormat="1">
      <c r="B53" s="134">
        <v>2040</v>
      </c>
      <c r="C53" s="510">
        <v>80.36</v>
      </c>
    </row>
    <row r="54" spans="2:11" s="58" customFormat="1">
      <c r="B54" s="134">
        <v>2045</v>
      </c>
      <c r="C54" s="510">
        <v>80.36</v>
      </c>
    </row>
    <row r="55" spans="2:11" s="58" customFormat="1">
      <c r="B55" s="509">
        <v>2050</v>
      </c>
      <c r="C55" s="510">
        <v>80.36</v>
      </c>
    </row>
    <row r="56" spans="2:11" s="58" customFormat="1">
      <c r="B56" s="512" t="s">
        <v>498</v>
      </c>
      <c r="C56" s="513">
        <f>(C41-C38)/C38</f>
        <v>-2.7678627486088837E-2</v>
      </c>
      <c r="D56" s="89"/>
    </row>
    <row r="57" spans="2:11" s="58" customFormat="1">
      <c r="B57" s="512" t="s">
        <v>499</v>
      </c>
      <c r="C57" s="513">
        <f>(C51-C38)/C38</f>
        <v>-0.15910734507944577</v>
      </c>
      <c r="D57" s="89"/>
    </row>
    <row r="58" spans="2:11" s="58" customFormat="1">
      <c r="B58" s="512" t="s">
        <v>656</v>
      </c>
      <c r="C58" s="576">
        <f>(C53-C38)/C38</f>
        <v>-0.15910734507944577</v>
      </c>
      <c r="D58" s="89"/>
    </row>
    <row r="59" spans="2:11" s="58" customFormat="1">
      <c r="B59" s="575" t="s">
        <v>543</v>
      </c>
      <c r="C59" s="576">
        <f>(C54-C38)/C38</f>
        <v>-0.15910734507944577</v>
      </c>
      <c r="D59" s="89"/>
    </row>
    <row r="60" spans="2:11" s="58" customFormat="1">
      <c r="B60" s="575" t="s">
        <v>703</v>
      </c>
      <c r="C60" s="576">
        <f>(C55-C38)/C38</f>
        <v>-0.15910734507944577</v>
      </c>
      <c r="D60" s="89"/>
    </row>
    <row r="61" spans="2:11" s="58" customFormat="1" ht="56.5" thickBot="1">
      <c r="B61" s="514" t="s">
        <v>480</v>
      </c>
      <c r="C61" s="515" t="s">
        <v>481</v>
      </c>
    </row>
    <row r="62" spans="2:11" s="58" customFormat="1" ht="14.5" thickBot="1">
      <c r="D62" s="37"/>
    </row>
    <row r="63" spans="2:11" s="58" customFormat="1" ht="22.5" customHeight="1" thickBot="1">
      <c r="B63" s="1087" t="s">
        <v>368</v>
      </c>
      <c r="C63" s="1208"/>
      <c r="D63" s="451"/>
      <c r="K63" s="25"/>
    </row>
    <row r="64" spans="2:11" s="11" customFormat="1" ht="28">
      <c r="B64" s="173" t="s">
        <v>49</v>
      </c>
      <c r="C64" s="174">
        <v>2020</v>
      </c>
      <c r="D64" s="36"/>
      <c r="K64" s="25"/>
    </row>
    <row r="65" spans="2:11" s="11" customFormat="1">
      <c r="B65" s="173" t="s">
        <v>28</v>
      </c>
      <c r="C65" s="174">
        <v>2030</v>
      </c>
      <c r="D65" s="36"/>
      <c r="K65"/>
    </row>
    <row r="66" spans="2:11" s="58" customFormat="1">
      <c r="B66" s="643" t="s">
        <v>596</v>
      </c>
      <c r="C66" s="644">
        <v>2040</v>
      </c>
      <c r="D66" s="36"/>
    </row>
    <row r="67" spans="2:11" s="58" customFormat="1">
      <c r="B67" s="645" t="s">
        <v>597</v>
      </c>
      <c r="C67" s="646">
        <v>2045</v>
      </c>
      <c r="D67" s="36"/>
    </row>
    <row r="68" spans="2:11" s="58" customFormat="1">
      <c r="B68" s="643" t="s">
        <v>598</v>
      </c>
      <c r="C68" s="644">
        <v>2050</v>
      </c>
      <c r="D68" s="36"/>
    </row>
    <row r="69" spans="2:11" s="11" customFormat="1">
      <c r="B69" s="173" t="s">
        <v>29</v>
      </c>
      <c r="C69" s="174">
        <f>C65-C64</f>
        <v>10</v>
      </c>
      <c r="D69" s="36"/>
    </row>
    <row r="70" spans="2:11" s="58" customFormat="1">
      <c r="B70" s="173" t="s">
        <v>599</v>
      </c>
      <c r="C70" s="174">
        <f>C66-C64</f>
        <v>20</v>
      </c>
      <c r="D70" s="36"/>
    </row>
    <row r="71" spans="2:11" s="58" customFormat="1">
      <c r="B71" s="645" t="s">
        <v>600</v>
      </c>
      <c r="C71" s="646">
        <f>C67-C64</f>
        <v>25</v>
      </c>
      <c r="D71" s="36"/>
    </row>
    <row r="72" spans="2:11" s="58" customFormat="1">
      <c r="B72" s="645" t="s">
        <v>601</v>
      </c>
      <c r="C72" s="646">
        <f>C68-C64</f>
        <v>30</v>
      </c>
      <c r="D72" s="36"/>
    </row>
    <row r="73" spans="2:11" s="11" customFormat="1">
      <c r="B73" s="173" t="s">
        <v>57</v>
      </c>
      <c r="C73" s="175">
        <f>'Plan Bay Area Data'!E80</f>
        <v>277200</v>
      </c>
      <c r="D73" s="36"/>
    </row>
    <row r="74" spans="2:11" s="11" customFormat="1">
      <c r="B74" s="173" t="s">
        <v>58</v>
      </c>
      <c r="C74" s="175">
        <f>'Plan Bay Area Data'!G80</f>
        <v>296280</v>
      </c>
      <c r="D74" s="36"/>
    </row>
    <row r="75" spans="2:11" s="58" customFormat="1">
      <c r="B75" s="173" t="s">
        <v>602</v>
      </c>
      <c r="C75" s="647">
        <f>'Plan Bay Area Data'!I80</f>
        <v>315100</v>
      </c>
      <c r="D75" s="36"/>
    </row>
    <row r="76" spans="2:11" s="58" customFormat="1">
      <c r="B76" s="645" t="s">
        <v>526</v>
      </c>
      <c r="C76" s="592">
        <f>'Plan Bay Area Data'!J80</f>
        <v>323606.61147013085</v>
      </c>
      <c r="D76" s="36"/>
    </row>
    <row r="77" spans="2:11" s="58" customFormat="1">
      <c r="B77" s="645" t="s">
        <v>603</v>
      </c>
      <c r="C77" s="647">
        <f>'Plan Bay Area Data'!K80</f>
        <v>332055.83842695825</v>
      </c>
      <c r="D77" s="36"/>
    </row>
    <row r="78" spans="2:11" s="11" customFormat="1" ht="28">
      <c r="B78" s="173" t="s">
        <v>59</v>
      </c>
      <c r="C78" s="175">
        <f>C74-C73</f>
        <v>19080</v>
      </c>
      <c r="D78" s="36"/>
    </row>
    <row r="79" spans="2:11" s="58" customFormat="1" ht="28">
      <c r="B79" s="173" t="s">
        <v>604</v>
      </c>
      <c r="C79" s="647">
        <f>C75-C73</f>
        <v>37900</v>
      </c>
      <c r="D79" s="36"/>
    </row>
    <row r="80" spans="2:11" s="58" customFormat="1" ht="28">
      <c r="B80" s="173" t="s">
        <v>527</v>
      </c>
      <c r="C80" s="592">
        <f>C76-C73</f>
        <v>46406.611470130854</v>
      </c>
      <c r="D80" s="36"/>
    </row>
    <row r="81" spans="2:4" s="58" customFormat="1" ht="28">
      <c r="B81" s="173" t="s">
        <v>605</v>
      </c>
      <c r="C81" s="647">
        <f>C77-C73</f>
        <v>54855.838426958246</v>
      </c>
      <c r="D81" s="36"/>
    </row>
    <row r="82" spans="2:4" s="11" customFormat="1" ht="28">
      <c r="B82" s="173" t="s">
        <v>60</v>
      </c>
      <c r="C82" s="175">
        <f>C78/10</f>
        <v>1908</v>
      </c>
      <c r="D82" s="36"/>
    </row>
    <row r="83" spans="2:4" s="58" customFormat="1" ht="28">
      <c r="B83" s="645" t="s">
        <v>606</v>
      </c>
      <c r="C83" s="647">
        <f>C80/20</f>
        <v>2320.3305735065428</v>
      </c>
      <c r="D83" s="36"/>
    </row>
    <row r="84" spans="2:4" s="58" customFormat="1" ht="28">
      <c r="B84" s="645" t="s">
        <v>528</v>
      </c>
      <c r="C84" s="592">
        <f>C80/25</f>
        <v>1856.2644588052342</v>
      </c>
      <c r="D84" s="36"/>
    </row>
    <row r="85" spans="2:4" s="58" customFormat="1" ht="28">
      <c r="B85" s="645" t="s">
        <v>607</v>
      </c>
      <c r="C85" s="647">
        <f>C81/30</f>
        <v>1828.5279475652749</v>
      </c>
      <c r="D85" s="36"/>
    </row>
    <row r="86" spans="2:4" s="11" customFormat="1" ht="28">
      <c r="B86" s="173" t="s">
        <v>61</v>
      </c>
      <c r="C86" s="176">
        <f>((C82)/((C73+C74)/2))</f>
        <v>6.654111738857502E-3</v>
      </c>
      <c r="D86" s="36"/>
    </row>
    <row r="87" spans="2:4" s="58" customFormat="1" ht="28">
      <c r="B87" s="173" t="s">
        <v>608</v>
      </c>
      <c r="C87" s="648">
        <f>((C83)/((C73+C75)/2))</f>
        <v>7.8349842090377937E-3</v>
      </c>
      <c r="D87" s="36"/>
    </row>
    <row r="88" spans="2:4" s="58" customFormat="1" ht="28">
      <c r="B88" s="173" t="s">
        <v>529</v>
      </c>
      <c r="C88" s="649">
        <f>((C84)/((C73+C76)/2))</f>
        <v>6.1792411180798682E-3</v>
      </c>
      <c r="D88" s="36"/>
    </row>
    <row r="89" spans="2:4" s="58" customFormat="1" ht="28">
      <c r="B89" s="173" t="s">
        <v>609</v>
      </c>
      <c r="C89" s="648">
        <f>((C85)/((C73+C77)/2))</f>
        <v>6.0024962658917257E-3</v>
      </c>
      <c r="D89" s="36"/>
    </row>
    <row r="90" spans="2:4" s="11" customFormat="1" ht="28">
      <c r="B90" s="173" t="s">
        <v>62</v>
      </c>
      <c r="C90" s="176">
        <v>5.0000000000000001E-3</v>
      </c>
      <c r="D90" s="36"/>
    </row>
    <row r="91" spans="2:4" s="58" customFormat="1" ht="28">
      <c r="B91" s="173" t="s">
        <v>610</v>
      </c>
      <c r="C91" s="176">
        <v>5.0000000000000001E-3</v>
      </c>
      <c r="D91" s="36"/>
    </row>
    <row r="92" spans="2:4" s="58" customFormat="1" ht="28">
      <c r="B92" s="173" t="s">
        <v>530</v>
      </c>
      <c r="C92" s="649">
        <v>5.0000000000000001E-3</v>
      </c>
      <c r="D92" s="36"/>
    </row>
    <row r="93" spans="2:4" s="58" customFormat="1" ht="28">
      <c r="B93" s="173" t="s">
        <v>611</v>
      </c>
      <c r="C93" s="649">
        <v>5.0000000000000001E-3</v>
      </c>
      <c r="D93" s="36"/>
    </row>
    <row r="94" spans="2:4" s="11" customFormat="1" ht="28">
      <c r="B94" s="172" t="s">
        <v>531</v>
      </c>
      <c r="C94" s="176">
        <f>SUM(C90,C86)</f>
        <v>1.1654111738857501E-2</v>
      </c>
      <c r="D94" s="36"/>
    </row>
    <row r="95" spans="2:4" s="58" customFormat="1" ht="28">
      <c r="B95" s="172" t="s">
        <v>612</v>
      </c>
      <c r="C95" s="648">
        <f>SUM(C91,C87)</f>
        <v>1.2834984209037795E-2</v>
      </c>
      <c r="D95" s="36"/>
    </row>
    <row r="96" spans="2:4" s="58" customFormat="1" ht="28">
      <c r="B96" s="172" t="s">
        <v>532</v>
      </c>
      <c r="C96" s="649">
        <f>SUM(C92,C88)</f>
        <v>1.1179241118079868E-2</v>
      </c>
      <c r="D96" s="36"/>
    </row>
    <row r="97" spans="2:10" s="58" customFormat="1" ht="28">
      <c r="B97" s="172" t="s">
        <v>613</v>
      </c>
      <c r="C97" s="648">
        <f>SUM(C93,C89)</f>
        <v>1.1002496265891726E-2</v>
      </c>
      <c r="D97" s="36"/>
    </row>
    <row r="98" spans="2:10" s="11" customFormat="1">
      <c r="B98" s="172" t="s">
        <v>48</v>
      </c>
      <c r="C98" s="175">
        <f>Forecast!I48</f>
        <v>85075.872109910662</v>
      </c>
      <c r="D98" s="36"/>
    </row>
    <row r="99" spans="2:10" s="58" customFormat="1">
      <c r="B99" s="1021" t="s">
        <v>615</v>
      </c>
      <c r="C99" s="647">
        <f>Forecast!K48</f>
        <v>89377.649959801813</v>
      </c>
      <c r="D99" s="36"/>
    </row>
    <row r="100" spans="2:10" s="58" customFormat="1">
      <c r="B100" s="172" t="s">
        <v>533</v>
      </c>
      <c r="C100" s="592">
        <f>Forecast!M48</f>
        <v>92773.583498275737</v>
      </c>
      <c r="D100" s="36"/>
    </row>
    <row r="101" spans="2:10" s="58" customFormat="1">
      <c r="B101" s="172" t="s">
        <v>614</v>
      </c>
      <c r="C101" s="647">
        <f>Forecast!O48</f>
        <v>96510.976893841274</v>
      </c>
      <c r="D101" s="36"/>
    </row>
    <row r="102" spans="2:10" s="11" customFormat="1" ht="28">
      <c r="B102" s="172" t="s">
        <v>38</v>
      </c>
      <c r="C102" s="176">
        <f>C94*C69</f>
        <v>0.11654111738857501</v>
      </c>
      <c r="D102" s="39"/>
      <c r="J102" s="3"/>
    </row>
    <row r="103" spans="2:10" s="58" customFormat="1" ht="28">
      <c r="B103" s="172" t="s">
        <v>617</v>
      </c>
      <c r="C103" s="648">
        <f>C95*C70</f>
        <v>0.25669968418075589</v>
      </c>
      <c r="D103" s="39"/>
      <c r="J103" s="61"/>
    </row>
    <row r="104" spans="2:10" s="58" customFormat="1" ht="28">
      <c r="B104" s="172" t="s">
        <v>534</v>
      </c>
      <c r="C104" s="649">
        <f>C96*C71</f>
        <v>0.2794810279519967</v>
      </c>
      <c r="D104" s="39"/>
      <c r="J104" s="61"/>
    </row>
    <row r="105" spans="2:10" s="58" customFormat="1" ht="28">
      <c r="B105" s="172" t="s">
        <v>616</v>
      </c>
      <c r="C105" s="648">
        <f>C97*C72</f>
        <v>0.33007488797675177</v>
      </c>
      <c r="D105" s="39"/>
      <c r="J105" s="61"/>
    </row>
    <row r="106" spans="2:10" s="58" customFormat="1" ht="34.5" customHeight="1">
      <c r="B106" s="172" t="s">
        <v>359</v>
      </c>
      <c r="C106" s="177">
        <v>0.3</v>
      </c>
      <c r="D106" s="168"/>
      <c r="J106" s="61"/>
    </row>
    <row r="107" spans="2:10" s="58" customFormat="1" ht="34.5" customHeight="1">
      <c r="B107" s="172" t="s">
        <v>360</v>
      </c>
      <c r="C107" s="177">
        <v>0.6</v>
      </c>
      <c r="D107" s="39"/>
      <c r="J107" s="61"/>
    </row>
    <row r="108" spans="2:10" s="58" customFormat="1" ht="28.5" customHeight="1">
      <c r="B108" s="456" t="s">
        <v>320</v>
      </c>
      <c r="C108" s="402">
        <f>C102*C106</f>
        <v>3.49623352165725E-2</v>
      </c>
      <c r="D108" s="39"/>
      <c r="J108" s="61"/>
    </row>
    <row r="109" spans="2:10" s="58" customFormat="1" ht="28.5" customHeight="1">
      <c r="B109" s="456" t="s">
        <v>618</v>
      </c>
      <c r="C109" s="569">
        <f>C103*C106</f>
        <v>7.7009905254226768E-2</v>
      </c>
      <c r="D109" s="39"/>
      <c r="J109" s="61"/>
    </row>
    <row r="110" spans="2:10" s="58" customFormat="1" ht="28.5" customHeight="1">
      <c r="B110" s="456" t="s">
        <v>535</v>
      </c>
      <c r="C110" s="569">
        <f>C104*C106</f>
        <v>8.3844308385599003E-2</v>
      </c>
      <c r="D110" s="39"/>
      <c r="J110" s="61"/>
    </row>
    <row r="111" spans="2:10" s="58" customFormat="1" ht="28.5" customHeight="1">
      <c r="B111" s="456" t="s">
        <v>619</v>
      </c>
      <c r="C111" s="569">
        <f>C105*C106</f>
        <v>9.9022466393025532E-2</v>
      </c>
      <c r="D111" s="39"/>
      <c r="J111" s="61"/>
    </row>
    <row r="112" spans="2:10" s="58" customFormat="1" ht="28.5" customHeight="1">
      <c r="B112" s="572" t="s">
        <v>321</v>
      </c>
      <c r="C112" s="570">
        <f>C102*C107</f>
        <v>6.9924670433145E-2</v>
      </c>
      <c r="D112" s="39"/>
      <c r="J112" s="61"/>
    </row>
    <row r="113" spans="2:21" s="58" customFormat="1" ht="28.5" customHeight="1">
      <c r="B113" s="456" t="s">
        <v>620</v>
      </c>
      <c r="C113" s="652">
        <f>C103*C107</f>
        <v>0.15401981050845354</v>
      </c>
      <c r="D113" s="651"/>
      <c r="J113" s="61"/>
    </row>
    <row r="114" spans="2:21" s="58" customFormat="1" ht="28.5" customHeight="1">
      <c r="B114" s="456" t="s">
        <v>621</v>
      </c>
      <c r="C114" s="652">
        <f>C104*C107</f>
        <v>0.16768861677119801</v>
      </c>
      <c r="D114" s="651"/>
      <c r="J114" s="61"/>
    </row>
    <row r="115" spans="2:21" s="58" customFormat="1" ht="28.5" customHeight="1" thickBot="1">
      <c r="B115" s="705" t="s">
        <v>676</v>
      </c>
      <c r="C115" s="650">
        <f>C105*C107</f>
        <v>0.19804493278605106</v>
      </c>
      <c r="D115" s="651"/>
      <c r="J115" s="61"/>
    </row>
    <row r="116" spans="2:21" ht="10.5" customHeight="1" thickBot="1">
      <c r="B116" s="571"/>
      <c r="C116" s="571"/>
      <c r="D116" s="36"/>
      <c r="F116" s="12"/>
      <c r="O116" s="11"/>
      <c r="P116" s="11"/>
      <c r="Q116" s="11"/>
      <c r="R116" s="11"/>
      <c r="S116" s="11"/>
      <c r="T116" s="11"/>
      <c r="U116" s="11"/>
    </row>
    <row r="117" spans="2:21" s="58" customFormat="1" ht="22.5" customHeight="1" thickBot="1">
      <c r="B117" s="1087" t="s">
        <v>369</v>
      </c>
      <c r="C117" s="1208"/>
      <c r="D117" s="36"/>
      <c r="F117" s="12"/>
    </row>
    <row r="118" spans="2:21" s="58" customFormat="1" ht="28">
      <c r="B118" s="169" t="s">
        <v>37</v>
      </c>
      <c r="C118" s="179">
        <v>0.5</v>
      </c>
      <c r="D118" s="36"/>
      <c r="F118" s="13"/>
    </row>
    <row r="119" spans="2:21" s="58" customFormat="1" ht="28">
      <c r="B119" s="169" t="s">
        <v>622</v>
      </c>
      <c r="C119" s="1030">
        <v>0.8</v>
      </c>
      <c r="D119" s="36"/>
      <c r="F119" s="13"/>
    </row>
    <row r="120" spans="2:21" s="58" customFormat="1" ht="28">
      <c r="B120" s="169" t="s">
        <v>536</v>
      </c>
      <c r="C120" s="1030">
        <v>1</v>
      </c>
      <c r="D120" s="36"/>
      <c r="F120" s="13"/>
    </row>
    <row r="121" spans="2:21" s="58" customFormat="1" ht="28">
      <c r="B121" s="169" t="s">
        <v>623</v>
      </c>
      <c r="C121" s="1030">
        <v>1</v>
      </c>
      <c r="D121" s="36"/>
      <c r="F121" s="13"/>
    </row>
    <row r="122" spans="2:21" s="58" customFormat="1" ht="31.5" customHeight="1">
      <c r="B122" s="169" t="s">
        <v>357</v>
      </c>
      <c r="C122" s="179">
        <v>0.3</v>
      </c>
      <c r="D122" s="36"/>
      <c r="F122" s="13"/>
    </row>
    <row r="123" spans="2:21" s="58" customFormat="1" ht="31.5" customHeight="1">
      <c r="B123" s="169" t="s">
        <v>358</v>
      </c>
      <c r="C123" s="179">
        <v>0.6</v>
      </c>
      <c r="D123" s="36"/>
      <c r="F123" s="13"/>
    </row>
    <row r="124" spans="2:21" s="58" customFormat="1" ht="34.5" customHeight="1">
      <c r="B124" s="456" t="s">
        <v>322</v>
      </c>
      <c r="C124" s="403">
        <f>(C118*C122)</f>
        <v>0.15</v>
      </c>
      <c r="D124" s="36"/>
    </row>
    <row r="125" spans="2:21" s="58" customFormat="1" ht="34.5" customHeight="1">
      <c r="B125" s="456" t="s">
        <v>624</v>
      </c>
      <c r="C125" s="653">
        <f>(C119*C122)</f>
        <v>0.24</v>
      </c>
      <c r="D125" s="36"/>
    </row>
    <row r="126" spans="2:21" s="58" customFormat="1" ht="34.5" customHeight="1">
      <c r="B126" s="456" t="s">
        <v>537</v>
      </c>
      <c r="C126" s="653">
        <f>(C120*C122)</f>
        <v>0.3</v>
      </c>
      <c r="D126" s="36"/>
    </row>
    <row r="127" spans="2:21" s="58" customFormat="1" ht="34.5" customHeight="1">
      <c r="B127" s="456" t="s">
        <v>625</v>
      </c>
      <c r="C127" s="653">
        <f>(C121*C122)</f>
        <v>0.3</v>
      </c>
      <c r="D127" s="36"/>
    </row>
    <row r="128" spans="2:21" s="58" customFormat="1" ht="34.5" customHeight="1">
      <c r="B128" s="572" t="s">
        <v>323</v>
      </c>
      <c r="C128" s="574">
        <f>(C118*C123)</f>
        <v>0.3</v>
      </c>
      <c r="D128" s="36"/>
    </row>
    <row r="129" spans="1:11" s="58" customFormat="1" ht="34.5" customHeight="1">
      <c r="A129" s="655"/>
      <c r="B129" s="654" t="s">
        <v>626</v>
      </c>
      <c r="C129" s="403">
        <f>(C119*C123)</f>
        <v>0.48</v>
      </c>
      <c r="D129" s="36"/>
    </row>
    <row r="130" spans="1:11" s="58" customFormat="1" ht="34.5" customHeight="1">
      <c r="A130" s="655"/>
      <c r="B130" s="654" t="s">
        <v>538</v>
      </c>
      <c r="C130" s="403">
        <f>(C120*C123)</f>
        <v>0.6</v>
      </c>
      <c r="D130" s="36"/>
    </row>
    <row r="131" spans="1:11" s="58" customFormat="1" ht="34.5" customHeight="1" thickBot="1">
      <c r="A131" s="655"/>
      <c r="B131" s="656" t="s">
        <v>627</v>
      </c>
      <c r="C131" s="657">
        <f>(C121*C123)</f>
        <v>0.6</v>
      </c>
      <c r="D131" s="36"/>
    </row>
    <row r="132" spans="1:11" ht="14.5" thickBot="1">
      <c r="B132" s="11"/>
      <c r="C132" s="11"/>
      <c r="D132" s="36"/>
      <c r="E132" s="11"/>
      <c r="F132" s="13"/>
      <c r="J132" s="11"/>
      <c r="K132" s="11"/>
    </row>
    <row r="133" spans="1:11" s="58" customFormat="1" ht="24.75" customHeight="1" thickBot="1">
      <c r="B133" s="1087" t="s">
        <v>504</v>
      </c>
      <c r="C133" s="1214"/>
      <c r="D133" s="1215"/>
      <c r="E133" s="1215"/>
      <c r="F133" s="1216"/>
    </row>
    <row r="134" spans="1:11" s="58" customFormat="1" ht="42">
      <c r="B134" s="807" t="s">
        <v>7</v>
      </c>
      <c r="C134" s="808" t="s">
        <v>266</v>
      </c>
      <c r="D134" s="808" t="s">
        <v>267</v>
      </c>
      <c r="E134" s="808" t="s">
        <v>268</v>
      </c>
      <c r="F134" s="809" t="s">
        <v>269</v>
      </c>
    </row>
    <row r="135" spans="1:11" s="58" customFormat="1">
      <c r="B135" s="202">
        <v>2017</v>
      </c>
      <c r="C135" s="201">
        <v>0.33</v>
      </c>
      <c r="D135" s="201">
        <f t="shared" ref="D135:D168" si="1">1-C135</f>
        <v>0.66999999999999993</v>
      </c>
      <c r="E135" s="201" t="s">
        <v>27</v>
      </c>
      <c r="F135" s="203">
        <f>Forecast!G132</f>
        <v>2.2476389430157502E-4</v>
      </c>
    </row>
    <row r="136" spans="1:11" s="58" customFormat="1">
      <c r="B136" s="202">
        <v>2018</v>
      </c>
      <c r="C136" s="201">
        <f>C135+(($C$138-C135)/($B$138-B135))</f>
        <v>0.33</v>
      </c>
      <c r="D136" s="201">
        <f t="shared" si="1"/>
        <v>0.66999999999999993</v>
      </c>
      <c r="E136" s="201">
        <f t="shared" ref="E136:E138" si="2">(C136-C135)/C135</f>
        <v>0</v>
      </c>
      <c r="F136" s="203">
        <f t="shared" ref="F136:F143" si="3">F135+((E136*$G$175)*F135)</f>
        <v>2.2476389430157502E-4</v>
      </c>
    </row>
    <row r="137" spans="1:11" s="58" customFormat="1">
      <c r="B137" s="204">
        <v>2019</v>
      </c>
      <c r="C137" s="201">
        <f>C136+(($C$138-C136)/($B$138-B136))</f>
        <v>0.33</v>
      </c>
      <c r="D137" s="205">
        <f t="shared" si="1"/>
        <v>0.66999999999999993</v>
      </c>
      <c r="E137" s="205">
        <f t="shared" si="2"/>
        <v>0</v>
      </c>
      <c r="F137" s="203">
        <f t="shared" si="3"/>
        <v>2.2476389430157502E-4</v>
      </c>
    </row>
    <row r="138" spans="1:11" s="58" customFormat="1">
      <c r="B138" s="206">
        <v>2020</v>
      </c>
      <c r="C138" s="207">
        <v>0.33</v>
      </c>
      <c r="D138" s="207">
        <f t="shared" si="1"/>
        <v>0.66999999999999993</v>
      </c>
      <c r="E138" s="207">
        <f t="shared" si="2"/>
        <v>0</v>
      </c>
      <c r="F138" s="208">
        <f t="shared" si="3"/>
        <v>2.2476389430157502E-4</v>
      </c>
    </row>
    <row r="139" spans="1:11" s="58" customFormat="1">
      <c r="B139" s="209">
        <v>2021</v>
      </c>
      <c r="C139" s="210">
        <f>C138+(($C$148-$C$138)/($B$148-$B$138))</f>
        <v>0.35699999999999998</v>
      </c>
      <c r="D139" s="210">
        <f t="shared" si="1"/>
        <v>0.64300000000000002</v>
      </c>
      <c r="E139" s="210">
        <f>(C139-C138)/C138</f>
        <v>8.1818181818181721E-2</v>
      </c>
      <c r="F139" s="211">
        <f t="shared" si="3"/>
        <v>2.1663627133799128E-4</v>
      </c>
    </row>
    <row r="140" spans="1:11" s="58" customFormat="1">
      <c r="B140" s="202">
        <v>2022</v>
      </c>
      <c r="C140" s="210">
        <f t="shared" ref="C140:C143" si="4">C139+(($C$148-$C$138)/($B$148-$B$138))</f>
        <v>0.38400000000000001</v>
      </c>
      <c r="D140" s="201">
        <f t="shared" si="1"/>
        <v>0.61599999999999999</v>
      </c>
      <c r="E140" s="201">
        <f>(C140-C139)/C139</f>
        <v>7.5630252100840401E-2</v>
      </c>
      <c r="F140" s="211">
        <f t="shared" si="3"/>
        <v>2.0939501541954327E-4</v>
      </c>
    </row>
    <row r="141" spans="1:11" s="58" customFormat="1">
      <c r="B141" s="202">
        <v>2023</v>
      </c>
      <c r="C141" s="210">
        <f t="shared" si="4"/>
        <v>0.41100000000000003</v>
      </c>
      <c r="D141" s="201">
        <f t="shared" si="1"/>
        <v>0.58899999999999997</v>
      </c>
      <c r="E141" s="201">
        <f t="shared" ref="E141:E168" si="5">(C141-C140)/C140</f>
        <v>7.0312500000000056E-2</v>
      </c>
      <c r="F141" s="211">
        <f t="shared" si="3"/>
        <v>2.0288793678049425E-4</v>
      </c>
    </row>
    <row r="142" spans="1:11" s="58" customFormat="1">
      <c r="B142" s="202">
        <v>2024</v>
      </c>
      <c r="C142" s="210">
        <f t="shared" si="4"/>
        <v>0.43800000000000006</v>
      </c>
      <c r="D142" s="201">
        <f t="shared" si="1"/>
        <v>0.56199999999999994</v>
      </c>
      <c r="E142" s="201">
        <f t="shared" si="5"/>
        <v>6.5693430656934365E-2</v>
      </c>
      <c r="F142" s="211">
        <f t="shared" si="3"/>
        <v>1.9699725795908457E-4</v>
      </c>
    </row>
    <row r="143" spans="1:11" s="58" customFormat="1">
      <c r="B143" s="204">
        <v>2025</v>
      </c>
      <c r="C143" s="210">
        <f t="shared" si="4"/>
        <v>0.46500000000000008</v>
      </c>
      <c r="D143" s="205">
        <f t="shared" si="1"/>
        <v>0.53499999999999992</v>
      </c>
      <c r="E143" s="205">
        <f t="shared" si="5"/>
        <v>6.1643835616438401E-2</v>
      </c>
      <c r="F143" s="212">
        <f t="shared" si="3"/>
        <v>1.916301910302213E-4</v>
      </c>
    </row>
    <row r="144" spans="1:11" s="58" customFormat="1">
      <c r="B144" s="206">
        <v>2026</v>
      </c>
      <c r="C144" s="207">
        <v>0.5</v>
      </c>
      <c r="D144" s="207">
        <f t="shared" si="1"/>
        <v>0.5</v>
      </c>
      <c r="E144" s="207">
        <f t="shared" si="5"/>
        <v>7.5268817204300884E-2</v>
      </c>
      <c r="F144" s="208">
        <f>F143+((E144*$G$176)*F143)</f>
        <v>1.852866453623714E-4</v>
      </c>
    </row>
    <row r="145" spans="2:6" s="58" customFormat="1">
      <c r="B145" s="209">
        <v>2027</v>
      </c>
      <c r="C145" s="210">
        <f>C144+(($C$148-$C$138)/($B$148-$B$138))</f>
        <v>0.52700000000000002</v>
      </c>
      <c r="D145" s="210">
        <f t="shared" si="1"/>
        <v>0.47299999999999998</v>
      </c>
      <c r="E145" s="210">
        <f t="shared" si="5"/>
        <v>5.4000000000000048E-2</v>
      </c>
      <c r="F145" s="211">
        <f>F144+((E145*$G$176)*F144)</f>
        <v>1.808862578352406E-4</v>
      </c>
    </row>
    <row r="146" spans="2:6" s="58" customFormat="1">
      <c r="B146" s="202">
        <v>2028</v>
      </c>
      <c r="C146" s="210">
        <f>C145+(($C$148-$C$138)/($B$148-$B$138))</f>
        <v>0.55400000000000005</v>
      </c>
      <c r="D146" s="201">
        <f t="shared" si="1"/>
        <v>0.44599999999999995</v>
      </c>
      <c r="E146" s="201">
        <f t="shared" si="5"/>
        <v>5.1233396584440268E-2</v>
      </c>
      <c r="F146" s="211">
        <f>F145+((E146*$G$176)*F145)</f>
        <v>1.7681046811243674E-4</v>
      </c>
    </row>
    <row r="147" spans="2:6" s="58" customFormat="1">
      <c r="B147" s="204">
        <v>2029</v>
      </c>
      <c r="C147" s="210">
        <f>C146+(($C$148-$C$138)/($B$148-$B$138))</f>
        <v>0.58100000000000007</v>
      </c>
      <c r="D147" s="205">
        <f t="shared" si="1"/>
        <v>0.41899999999999993</v>
      </c>
      <c r="E147" s="205">
        <f t="shared" si="5"/>
        <v>4.8736462093862856E-2</v>
      </c>
      <c r="F147" s="211">
        <f>F146+((E147*$G$176)*F146)</f>
        <v>1.7302067920625536E-4</v>
      </c>
    </row>
    <row r="148" spans="2:6" s="58" customFormat="1">
      <c r="B148" s="206">
        <v>2030</v>
      </c>
      <c r="C148" s="207">
        <v>0.6</v>
      </c>
      <c r="D148" s="207">
        <f t="shared" si="1"/>
        <v>0.4</v>
      </c>
      <c r="E148" s="207">
        <f t="shared" si="5"/>
        <v>3.2702237521514466E-2</v>
      </c>
      <c r="F148" s="208">
        <f>F147+((E148*$G$176)*F147)</f>
        <v>1.7053223144725138E-4</v>
      </c>
    </row>
    <row r="149" spans="2:6" s="58" customFormat="1">
      <c r="B149" s="209">
        <v>2031</v>
      </c>
      <c r="C149" s="210">
        <f>C148+(($C$163-$C$148)/($B$163-$B$148))</f>
        <v>0.62666666666666659</v>
      </c>
      <c r="D149" s="210">
        <f t="shared" si="1"/>
        <v>0.37333333333333341</v>
      </c>
      <c r="E149" s="210">
        <f t="shared" si="5"/>
        <v>4.4444444444444363E-2</v>
      </c>
      <c r="F149" s="211">
        <f t="shared" ref="F149:F161" si="6">F148+(($F$163-$F$148)/15)</f>
        <v>1.5916341601743462E-4</v>
      </c>
    </row>
    <row r="150" spans="2:6" s="58" customFormat="1">
      <c r="B150" s="202">
        <v>2032</v>
      </c>
      <c r="C150" s="210">
        <f t="shared" ref="C150:C162" si="7">C149+(($C$163-$C$148)/($B$163-$B$148))</f>
        <v>0.65333333333333321</v>
      </c>
      <c r="D150" s="201">
        <f t="shared" si="1"/>
        <v>0.34666666666666679</v>
      </c>
      <c r="E150" s="201">
        <f t="shared" si="5"/>
        <v>4.2553191489361625E-2</v>
      </c>
      <c r="F150" s="211">
        <f t="shared" si="6"/>
        <v>1.4779460058761786E-4</v>
      </c>
    </row>
    <row r="151" spans="2:6" s="58" customFormat="1">
      <c r="B151" s="202">
        <v>2033</v>
      </c>
      <c r="C151" s="210">
        <f t="shared" si="7"/>
        <v>0.67999999999999983</v>
      </c>
      <c r="D151" s="201">
        <f t="shared" si="1"/>
        <v>0.32000000000000017</v>
      </c>
      <c r="E151" s="201">
        <f t="shared" si="5"/>
        <v>4.0816326530612172E-2</v>
      </c>
      <c r="F151" s="211">
        <f t="shared" si="6"/>
        <v>1.364257851578011E-4</v>
      </c>
    </row>
    <row r="152" spans="2:6" s="58" customFormat="1">
      <c r="B152" s="202">
        <v>2034</v>
      </c>
      <c r="C152" s="210">
        <f t="shared" si="7"/>
        <v>0.70666666666666644</v>
      </c>
      <c r="D152" s="201">
        <f t="shared" si="1"/>
        <v>0.29333333333333356</v>
      </c>
      <c r="E152" s="201">
        <f t="shared" si="5"/>
        <v>3.9215686274509741E-2</v>
      </c>
      <c r="F152" s="211">
        <f t="shared" si="6"/>
        <v>1.2505696972798434E-4</v>
      </c>
    </row>
    <row r="153" spans="2:6" s="58" customFormat="1">
      <c r="B153" s="202">
        <v>2035</v>
      </c>
      <c r="C153" s="210">
        <f t="shared" si="7"/>
        <v>0.73333333333333306</v>
      </c>
      <c r="D153" s="201">
        <f t="shared" si="1"/>
        <v>0.26666666666666694</v>
      </c>
      <c r="E153" s="201">
        <f t="shared" si="5"/>
        <v>3.7735849056603717E-2</v>
      </c>
      <c r="F153" s="211">
        <f t="shared" si="6"/>
        <v>1.1368815429816759E-4</v>
      </c>
    </row>
    <row r="154" spans="2:6" s="58" customFormat="1">
      <c r="B154" s="202">
        <v>2036</v>
      </c>
      <c r="C154" s="210">
        <f t="shared" si="7"/>
        <v>0.75999999999999968</v>
      </c>
      <c r="D154" s="201">
        <f t="shared" si="1"/>
        <v>0.24000000000000032</v>
      </c>
      <c r="E154" s="201">
        <f t="shared" si="5"/>
        <v>3.6363636363636306E-2</v>
      </c>
      <c r="F154" s="211">
        <f t="shared" si="6"/>
        <v>1.0231933886835083E-4</v>
      </c>
    </row>
    <row r="155" spans="2:6" s="58" customFormat="1">
      <c r="B155" s="202">
        <v>2037</v>
      </c>
      <c r="C155" s="210">
        <f t="shared" si="7"/>
        <v>0.78666666666666629</v>
      </c>
      <c r="D155" s="201">
        <f t="shared" si="1"/>
        <v>0.21333333333333371</v>
      </c>
      <c r="E155" s="201">
        <f t="shared" si="5"/>
        <v>3.5087719298245564E-2</v>
      </c>
      <c r="F155" s="211">
        <f t="shared" si="6"/>
        <v>9.0950523438534069E-5</v>
      </c>
    </row>
    <row r="156" spans="2:6" s="58" customFormat="1">
      <c r="B156" s="202">
        <v>2038</v>
      </c>
      <c r="C156" s="210">
        <f t="shared" si="7"/>
        <v>0.81333333333333291</v>
      </c>
      <c r="D156" s="201">
        <f t="shared" si="1"/>
        <v>0.18666666666666709</v>
      </c>
      <c r="E156" s="201">
        <f t="shared" si="5"/>
        <v>3.3898305084745714E-2</v>
      </c>
      <c r="F156" s="211">
        <f t="shared" si="6"/>
        <v>7.958170800871731E-5</v>
      </c>
    </row>
    <row r="157" spans="2:6" s="58" customFormat="1">
      <c r="B157" s="204">
        <v>2039</v>
      </c>
      <c r="C157" s="806">
        <f t="shared" si="7"/>
        <v>0.83999999999999952</v>
      </c>
      <c r="D157" s="205">
        <f t="shared" si="1"/>
        <v>0.16000000000000048</v>
      </c>
      <c r="E157" s="205">
        <f t="shared" si="5"/>
        <v>3.2786885245901592E-2</v>
      </c>
      <c r="F157" s="212">
        <f t="shared" si="6"/>
        <v>6.8212892578900551E-5</v>
      </c>
    </row>
    <row r="158" spans="2:6" s="58" customFormat="1">
      <c r="B158" s="810">
        <v>2040</v>
      </c>
      <c r="C158" s="221">
        <f t="shared" si="7"/>
        <v>0.86666666666666614</v>
      </c>
      <c r="D158" s="221">
        <f t="shared" si="1"/>
        <v>0.13333333333333386</v>
      </c>
      <c r="E158" s="221">
        <f t="shared" si="5"/>
        <v>3.1746031746031703E-2</v>
      </c>
      <c r="F158" s="811">
        <f t="shared" si="6"/>
        <v>5.6844077149083793E-5</v>
      </c>
    </row>
    <row r="159" spans="2:6" s="58" customFormat="1">
      <c r="B159" s="209">
        <v>2041</v>
      </c>
      <c r="C159" s="210">
        <f t="shared" si="7"/>
        <v>0.89333333333333276</v>
      </c>
      <c r="D159" s="210">
        <f t="shared" si="1"/>
        <v>0.10666666666666724</v>
      </c>
      <c r="E159" s="210">
        <f t="shared" si="5"/>
        <v>3.0769230769230729E-2</v>
      </c>
      <c r="F159" s="211">
        <f t="shared" si="6"/>
        <v>4.5475261719267034E-5</v>
      </c>
    </row>
    <row r="160" spans="2:6" s="58" customFormat="1">
      <c r="B160" s="202">
        <v>2042</v>
      </c>
      <c r="C160" s="210">
        <f t="shared" si="7"/>
        <v>0.91999999999999937</v>
      </c>
      <c r="D160" s="201">
        <f t="shared" si="1"/>
        <v>8.0000000000000626E-2</v>
      </c>
      <c r="E160" s="201">
        <f t="shared" si="5"/>
        <v>2.9850746268656678E-2</v>
      </c>
      <c r="F160" s="211">
        <f t="shared" si="6"/>
        <v>3.4106446289450276E-5</v>
      </c>
    </row>
    <row r="161" spans="2:8" s="58" customFormat="1">
      <c r="B161" s="202">
        <v>2043</v>
      </c>
      <c r="C161" s="210">
        <f t="shared" si="7"/>
        <v>0.94666666666666599</v>
      </c>
      <c r="D161" s="201">
        <f t="shared" si="1"/>
        <v>5.333333333333401E-2</v>
      </c>
      <c r="E161" s="201">
        <f t="shared" si="5"/>
        <v>2.8985507246376777E-2</v>
      </c>
      <c r="F161" s="211">
        <f t="shared" si="6"/>
        <v>2.2737630859633517E-5</v>
      </c>
    </row>
    <row r="162" spans="2:8" s="58" customFormat="1">
      <c r="B162" s="202">
        <v>2044</v>
      </c>
      <c r="C162" s="210">
        <f t="shared" si="7"/>
        <v>0.97333333333333261</v>
      </c>
      <c r="D162" s="201">
        <f t="shared" si="1"/>
        <v>2.6666666666667393E-2</v>
      </c>
      <c r="E162" s="201">
        <f t="shared" si="5"/>
        <v>2.8169014084507008E-2</v>
      </c>
      <c r="F162" s="211">
        <f>F161+(($F$163-$F$148)/15)</f>
        <v>1.1368815429816759E-5</v>
      </c>
    </row>
    <row r="163" spans="2:8" s="58" customFormat="1">
      <c r="B163" s="202">
        <v>2045</v>
      </c>
      <c r="C163" s="210">
        <v>1</v>
      </c>
      <c r="D163" s="201">
        <f t="shared" si="1"/>
        <v>0</v>
      </c>
      <c r="E163" s="201">
        <f t="shared" si="5"/>
        <v>2.7397260273973371E-2</v>
      </c>
      <c r="F163" s="203">
        <v>0</v>
      </c>
      <c r="H163" s="38"/>
    </row>
    <row r="164" spans="2:8" s="58" customFormat="1">
      <c r="B164" s="202">
        <v>2046</v>
      </c>
      <c r="C164" s="210">
        <v>1</v>
      </c>
      <c r="D164" s="201">
        <f t="shared" si="1"/>
        <v>0</v>
      </c>
      <c r="E164" s="201">
        <f t="shared" si="5"/>
        <v>0</v>
      </c>
      <c r="F164" s="203">
        <v>0</v>
      </c>
    </row>
    <row r="165" spans="2:8" s="58" customFormat="1">
      <c r="B165" s="202">
        <v>2047</v>
      </c>
      <c r="C165" s="210">
        <v>1</v>
      </c>
      <c r="D165" s="201">
        <f t="shared" si="1"/>
        <v>0</v>
      </c>
      <c r="E165" s="201">
        <f t="shared" si="5"/>
        <v>0</v>
      </c>
      <c r="F165" s="203">
        <v>0</v>
      </c>
    </row>
    <row r="166" spans="2:8" s="58" customFormat="1">
      <c r="B166" s="202">
        <v>2048</v>
      </c>
      <c r="C166" s="210">
        <v>1</v>
      </c>
      <c r="D166" s="201">
        <f t="shared" si="1"/>
        <v>0</v>
      </c>
      <c r="E166" s="201">
        <f t="shared" si="5"/>
        <v>0</v>
      </c>
      <c r="F166" s="203">
        <v>0</v>
      </c>
    </row>
    <row r="167" spans="2:8" s="58" customFormat="1">
      <c r="B167" s="204">
        <v>2049</v>
      </c>
      <c r="C167" s="210">
        <v>1</v>
      </c>
      <c r="D167" s="205">
        <f t="shared" si="1"/>
        <v>0</v>
      </c>
      <c r="E167" s="205">
        <f t="shared" si="5"/>
        <v>0</v>
      </c>
      <c r="F167" s="203">
        <v>0</v>
      </c>
    </row>
    <row r="168" spans="2:8" s="58" customFormat="1" ht="14.5" thickBot="1">
      <c r="B168" s="213">
        <v>2050</v>
      </c>
      <c r="C168" s="214">
        <v>1</v>
      </c>
      <c r="D168" s="214">
        <f t="shared" si="1"/>
        <v>0</v>
      </c>
      <c r="E168" s="214">
        <f t="shared" si="5"/>
        <v>0</v>
      </c>
      <c r="F168" s="215">
        <v>0</v>
      </c>
    </row>
    <row r="169" spans="2:8" s="58" customFormat="1" ht="18" customHeight="1" thickBot="1">
      <c r="B169" s="1217" t="s">
        <v>503</v>
      </c>
      <c r="C169" s="1218"/>
      <c r="D169" s="1218"/>
      <c r="E169" s="537" t="s">
        <v>270</v>
      </c>
      <c r="F169" s="453"/>
    </row>
    <row r="170" spans="2:8" s="58" customFormat="1" ht="18" customHeight="1" thickBot="1">
      <c r="B170" s="1217" t="s">
        <v>364</v>
      </c>
      <c r="C170" s="1218"/>
      <c r="D170" s="1218"/>
      <c r="E170" s="452" t="s">
        <v>365</v>
      </c>
      <c r="F170" s="453"/>
    </row>
    <row r="171" spans="2:8" s="58" customFormat="1" ht="14.5" thickBot="1"/>
    <row r="172" spans="2:8" s="58" customFormat="1" ht="22.5" customHeight="1" thickBot="1">
      <c r="B172" s="1087" t="s">
        <v>505</v>
      </c>
      <c r="C172" s="1214"/>
      <c r="D172" s="1215"/>
      <c r="E172" s="1215"/>
      <c r="F172" s="1215"/>
      <c r="G172" s="1216"/>
    </row>
    <row r="173" spans="2:8" s="58" customFormat="1" ht="56">
      <c r="B173" s="216" t="s">
        <v>271</v>
      </c>
      <c r="C173" s="217" t="s">
        <v>272</v>
      </c>
      <c r="D173" s="217" t="s">
        <v>273</v>
      </c>
      <c r="E173" s="217" t="s">
        <v>274</v>
      </c>
      <c r="F173" s="217" t="s">
        <v>275</v>
      </c>
      <c r="G173" s="218" t="s">
        <v>276</v>
      </c>
    </row>
    <row r="174" spans="2:8" s="58" customFormat="1">
      <c r="B174" s="219">
        <v>0.33</v>
      </c>
      <c r="C174" s="220" t="s">
        <v>27</v>
      </c>
      <c r="D174" s="167">
        <f>E174</f>
        <v>64000000</v>
      </c>
      <c r="E174" s="167">
        <v>64000000</v>
      </c>
      <c r="F174" s="221">
        <f>(E174-$D$174)/$D$174</f>
        <v>0</v>
      </c>
      <c r="G174" s="222" t="s">
        <v>27</v>
      </c>
    </row>
    <row r="175" spans="2:8" s="58" customFormat="1">
      <c r="B175" s="219">
        <v>0.4</v>
      </c>
      <c r="C175" s="223">
        <f>(B175-$B$174)/$B$174</f>
        <v>0.21212121212121213</v>
      </c>
      <c r="D175" s="167">
        <v>6000000</v>
      </c>
      <c r="E175" s="167">
        <f>E174-D175</f>
        <v>58000000</v>
      </c>
      <c r="F175" s="221">
        <f>(E175-$D$174)/$D$174</f>
        <v>-9.375E-2</v>
      </c>
      <c r="G175" s="224">
        <f>F175/C175</f>
        <v>-0.4419642857142857</v>
      </c>
    </row>
    <row r="176" spans="2:8" s="58" customFormat="1">
      <c r="B176" s="219">
        <v>0.5</v>
      </c>
      <c r="C176" s="223">
        <f>(B176-$B$174)/$B$174</f>
        <v>0.51515151515151503</v>
      </c>
      <c r="D176" s="167">
        <v>14500000</v>
      </c>
      <c r="E176" s="167">
        <f>E174-D176</f>
        <v>49500000</v>
      </c>
      <c r="F176" s="221">
        <f>(E176-$D$174)/$D$174</f>
        <v>-0.2265625</v>
      </c>
      <c r="G176" s="224">
        <f>F176/C176</f>
        <v>-0.43979779411764719</v>
      </c>
    </row>
    <row r="177" spans="2:8" s="58" customFormat="1" ht="26.25" customHeight="1" thickBot="1">
      <c r="B177" s="1235" t="s">
        <v>277</v>
      </c>
      <c r="C177" s="1236"/>
      <c r="D177" s="1236"/>
      <c r="E177" s="1236"/>
      <c r="F177" s="1236"/>
      <c r="G177" s="454" t="s">
        <v>278</v>
      </c>
      <c r="H177" s="453"/>
    </row>
    <row r="178" spans="2:8" s="58" customFormat="1" ht="14.5" thickBot="1">
      <c r="D178" s="36"/>
      <c r="F178" s="13"/>
    </row>
    <row r="179" spans="2:8" s="58" customFormat="1" ht="19.5" customHeight="1" thickBot="1">
      <c r="B179" s="1223" t="s">
        <v>458</v>
      </c>
      <c r="C179" s="1224"/>
      <c r="D179" s="1224"/>
      <c r="E179" s="1224"/>
      <c r="F179" s="1224"/>
      <c r="G179" s="1225"/>
    </row>
    <row r="180" spans="2:8" s="58" customFormat="1">
      <c r="B180" s="585" t="s">
        <v>304</v>
      </c>
      <c r="C180" s="892">
        <v>2020</v>
      </c>
      <c r="D180" s="752">
        <v>2030</v>
      </c>
      <c r="E180" s="752">
        <v>2040</v>
      </c>
      <c r="F180" s="893">
        <v>2045</v>
      </c>
      <c r="G180" s="894">
        <v>2050</v>
      </c>
    </row>
    <row r="181" spans="2:8" s="58" customFormat="1">
      <c r="B181" s="895" t="s">
        <v>376</v>
      </c>
      <c r="C181" s="896">
        <f>VLOOKUP(Forecast!$C$4,'State Policies + Assumptions'!$B$186:$C$207,2,FALSE)</f>
        <v>1.5599999999999999E-2</v>
      </c>
      <c r="D181" s="583">
        <f>VLOOKUP(Forecast!$C$4,'State Policies + Assumptions'!$B$186:$C$207,2,FALSE)</f>
        <v>1.5599999999999999E-2</v>
      </c>
      <c r="E181" s="583">
        <f>VLOOKUP(Forecast!$C$4,'State Policies + Assumptions'!$B$186:$C$207,2,FALSE)</f>
        <v>1.5599999999999999E-2</v>
      </c>
      <c r="F181" s="890">
        <f>VLOOKUP(Forecast!$C$4,'State Policies + Assumptions'!$B$186:$C$207,2,FALSE)</f>
        <v>1.5599999999999999E-2</v>
      </c>
      <c r="G181" s="897">
        <f>VLOOKUP(Forecast!$C$4,'State Policies + Assumptions'!$B$186:$C$207,2,FALSE)</f>
        <v>1.5599999999999999E-2</v>
      </c>
    </row>
    <row r="182" spans="2:8" s="58" customFormat="1">
      <c r="B182" s="895" t="s">
        <v>377</v>
      </c>
      <c r="C182" s="898">
        <f>1-C181</f>
        <v>0.98440000000000005</v>
      </c>
      <c r="D182" s="584">
        <f>1-D181</f>
        <v>0.98440000000000005</v>
      </c>
      <c r="E182" s="584">
        <f>1-E181</f>
        <v>0.98440000000000005</v>
      </c>
      <c r="F182" s="891">
        <f>1-F181</f>
        <v>0.98440000000000005</v>
      </c>
      <c r="G182" s="899">
        <f>1-G181</f>
        <v>0.98440000000000005</v>
      </c>
    </row>
    <row r="183" spans="2:8" s="58" customFormat="1" ht="14.5" thickBot="1">
      <c r="B183" s="900" t="s">
        <v>378</v>
      </c>
      <c r="C183" s="901">
        <f>0.00006452799792*0.9</f>
        <v>5.8075198127999998E-5</v>
      </c>
      <c r="D183" s="902">
        <v>0</v>
      </c>
      <c r="E183" s="902">
        <v>0</v>
      </c>
      <c r="F183" s="903">
        <v>0</v>
      </c>
      <c r="G183" s="586">
        <v>0</v>
      </c>
    </row>
    <row r="184" spans="2:8" s="58" customFormat="1" ht="14.5" thickBot="1">
      <c r="B184"/>
      <c r="C184"/>
      <c r="F184" s="13"/>
    </row>
    <row r="185" spans="2:8" s="58" customFormat="1" ht="20.25" customHeight="1" thickBot="1">
      <c r="B185" s="1207" t="s">
        <v>459</v>
      </c>
      <c r="C185" s="1208"/>
      <c r="F185" s="13"/>
    </row>
    <row r="186" spans="2:8" s="58" customFormat="1">
      <c r="B186" s="181" t="s">
        <v>374</v>
      </c>
      <c r="C186" s="182" t="s">
        <v>375</v>
      </c>
      <c r="F186" s="13"/>
    </row>
    <row r="187" spans="2:8" s="58" customFormat="1">
      <c r="B187" s="183" t="s">
        <v>92</v>
      </c>
      <c r="C187" s="184">
        <v>1.5599999999999999E-2</v>
      </c>
      <c r="F187" s="13"/>
    </row>
    <row r="188" spans="2:8" s="58" customFormat="1">
      <c r="B188" s="183" t="s">
        <v>80</v>
      </c>
      <c r="C188" s="184">
        <v>2.2499999999999999E-2</v>
      </c>
      <c r="F188" s="13"/>
    </row>
    <row r="189" spans="2:8" s="58" customFormat="1">
      <c r="B189" s="183" t="s">
        <v>78</v>
      </c>
      <c r="C189" s="184">
        <v>2.0299999999999999E-2</v>
      </c>
      <c r="F189" s="13"/>
    </row>
    <row r="190" spans="2:8" s="58" customFormat="1">
      <c r="B190" s="183" t="s">
        <v>89</v>
      </c>
      <c r="C190" s="184">
        <v>1.8800000000000001E-2</v>
      </c>
      <c r="F190" s="13"/>
    </row>
    <row r="191" spans="2:8" s="58" customFormat="1">
      <c r="B191" s="183" t="s">
        <v>83</v>
      </c>
      <c r="C191" s="184">
        <v>1.38E-2</v>
      </c>
      <c r="F191" s="13"/>
    </row>
    <row r="192" spans="2:8" s="58" customFormat="1">
      <c r="B192" s="183" t="s">
        <v>81</v>
      </c>
      <c r="C192" s="184">
        <v>2.8299999999999999E-2</v>
      </c>
      <c r="F192" s="13"/>
    </row>
    <row r="193" spans="2:6" s="58" customFormat="1">
      <c r="B193" s="183" t="s">
        <v>72</v>
      </c>
      <c r="C193" s="184">
        <v>2.5000000000000001E-2</v>
      </c>
      <c r="F193" s="13"/>
    </row>
    <row r="194" spans="2:6" s="58" customFormat="1">
      <c r="B194" s="183" t="s">
        <v>87</v>
      </c>
      <c r="C194" s="184">
        <v>1.9099999999999999E-2</v>
      </c>
      <c r="F194" s="13"/>
    </row>
    <row r="195" spans="2:6" s="58" customFormat="1">
      <c r="B195" s="183" t="s">
        <v>84</v>
      </c>
      <c r="C195" s="184">
        <v>2.5100000000000001E-2</v>
      </c>
      <c r="F195" s="13"/>
    </row>
    <row r="196" spans="2:6" s="58" customFormat="1">
      <c r="B196" s="183" t="s">
        <v>79</v>
      </c>
      <c r="C196" s="184">
        <v>1.9800000000000002E-2</v>
      </c>
      <c r="F196" s="13"/>
    </row>
    <row r="197" spans="2:6" s="58" customFormat="1">
      <c r="B197" s="183" t="s">
        <v>91</v>
      </c>
      <c r="C197" s="184">
        <v>1.35E-2</v>
      </c>
      <c r="F197" s="13"/>
    </row>
    <row r="198" spans="2:6" s="58" customFormat="1">
      <c r="B198" s="183" t="s">
        <v>73</v>
      </c>
      <c r="C198" s="184">
        <v>2.6100000000000002E-2</v>
      </c>
      <c r="F198" s="13"/>
    </row>
    <row r="199" spans="2:6" s="58" customFormat="1">
      <c r="B199" s="183" t="s">
        <v>88</v>
      </c>
      <c r="C199" s="184">
        <v>3.2399999999999998E-2</v>
      </c>
      <c r="F199" s="13"/>
    </row>
    <row r="200" spans="2:6" s="58" customFormat="1">
      <c r="B200" s="183" t="s">
        <v>86</v>
      </c>
      <c r="C200" s="184">
        <v>5.8000000000000003E-2</v>
      </c>
      <c r="F200" s="13"/>
    </row>
    <row r="201" spans="2:6" s="58" customFormat="1">
      <c r="B201" s="183" t="s">
        <v>77</v>
      </c>
      <c r="C201" s="184">
        <v>1.9099999999999999E-2</v>
      </c>
      <c r="F201" s="13"/>
    </row>
    <row r="202" spans="2:6" s="58" customFormat="1">
      <c r="B202" s="183" t="s">
        <v>74</v>
      </c>
      <c r="C202" s="184">
        <v>3.56E-2</v>
      </c>
      <c r="F202" s="13"/>
    </row>
    <row r="203" spans="2:6" s="58" customFormat="1">
      <c r="B203" s="183" t="s">
        <v>85</v>
      </c>
      <c r="C203" s="184">
        <v>2.2499999999999999E-2</v>
      </c>
      <c r="F203" s="13"/>
    </row>
    <row r="204" spans="2:6" s="58" customFormat="1">
      <c r="B204" s="183" t="s">
        <v>76</v>
      </c>
      <c r="C204" s="184">
        <v>2.2800000000000001E-2</v>
      </c>
      <c r="F204" s="13"/>
    </row>
    <row r="205" spans="2:6" s="58" customFormat="1">
      <c r="B205" s="183" t="s">
        <v>82</v>
      </c>
      <c r="C205" s="184">
        <v>3.1899999999999998E-2</v>
      </c>
      <c r="F205" s="13"/>
    </row>
    <row r="206" spans="2:6" s="58" customFormat="1">
      <c r="B206" s="183" t="s">
        <v>75</v>
      </c>
      <c r="C206" s="184">
        <v>2.4899999999999999E-2</v>
      </c>
      <c r="F206" s="13"/>
    </row>
    <row r="207" spans="2:6" s="58" customFormat="1" ht="14.5" thickBot="1">
      <c r="B207" s="154" t="s">
        <v>90</v>
      </c>
      <c r="C207" s="185">
        <v>1.6199999999999999E-2</v>
      </c>
      <c r="F207" s="13"/>
    </row>
    <row r="208" spans="2:6" s="58" customFormat="1" ht="14.5" thickBot="1">
      <c r="D208" s="36"/>
      <c r="F208" s="13"/>
    </row>
    <row r="209" spans="2:6" s="58" customFormat="1" ht="21.75" customHeight="1" thickBot="1">
      <c r="B209" s="1087" t="s">
        <v>371</v>
      </c>
      <c r="C209" s="1208"/>
      <c r="D209" s="36"/>
      <c r="F209" s="13"/>
    </row>
    <row r="210" spans="2:6" s="58" customFormat="1">
      <c r="B210" s="206" t="s">
        <v>7</v>
      </c>
      <c r="C210" s="225" t="s">
        <v>302</v>
      </c>
      <c r="D210" s="36"/>
      <c r="F210" s="13"/>
    </row>
    <row r="211" spans="2:6" s="58" customFormat="1">
      <c r="B211" s="226" t="s">
        <v>300</v>
      </c>
      <c r="C211" s="227">
        <f>'GHG Inventories'!E77</f>
        <v>10289.772404415</v>
      </c>
      <c r="D211" s="36"/>
      <c r="F211" s="13"/>
    </row>
    <row r="212" spans="2:6" s="58" customFormat="1">
      <c r="B212" s="226" t="s">
        <v>299</v>
      </c>
      <c r="C212" s="228">
        <v>0.75</v>
      </c>
      <c r="D212" s="36"/>
      <c r="F212" s="13"/>
    </row>
    <row r="213" spans="2:6" s="58" customFormat="1">
      <c r="B213" s="226" t="s">
        <v>460</v>
      </c>
      <c r="C213" s="227">
        <f>C211*(1-C212)</f>
        <v>2572.44310110375</v>
      </c>
      <c r="D213" s="36"/>
      <c r="F213" s="13"/>
    </row>
    <row r="214" spans="2:6" s="58" customFormat="1">
      <c r="B214" s="226" t="s">
        <v>461</v>
      </c>
      <c r="C214" s="227">
        <f>Forecast!U146</f>
        <v>10636.084483731014</v>
      </c>
      <c r="D214" s="36"/>
      <c r="F214" s="13"/>
    </row>
    <row r="215" spans="2:6" s="58" customFormat="1">
      <c r="B215" s="226" t="s">
        <v>628</v>
      </c>
      <c r="C215" s="227">
        <f>Forecast!AF146</f>
        <v>11208.915972595742</v>
      </c>
      <c r="D215" s="36"/>
      <c r="F215" s="13"/>
    </row>
    <row r="216" spans="2:6" s="58" customFormat="1">
      <c r="B216" s="226" t="s">
        <v>545</v>
      </c>
      <c r="C216" s="579">
        <f>Forecast!AQ146</f>
        <v>11606.703060691052</v>
      </c>
      <c r="D216" s="36"/>
      <c r="F216" s="13"/>
    </row>
    <row r="217" spans="2:6" s="58" customFormat="1">
      <c r="B217" s="226" t="s">
        <v>629</v>
      </c>
      <c r="C217" s="227">
        <f>Forecast!BB146</f>
        <v>12038.91001357851</v>
      </c>
      <c r="D217" s="36"/>
      <c r="F217" s="13"/>
    </row>
    <row r="218" spans="2:6" s="58" customFormat="1">
      <c r="B218" s="457" t="s">
        <v>462</v>
      </c>
      <c r="C218" s="458">
        <f>C214-C213</f>
        <v>8063.6413826272637</v>
      </c>
      <c r="D218" s="36"/>
      <c r="F218" s="13"/>
    </row>
    <row r="219" spans="2:6" s="58" customFormat="1">
      <c r="B219" s="658" t="s">
        <v>630</v>
      </c>
      <c r="C219" s="458">
        <f>C215-C213</f>
        <v>8636.4728714919911</v>
      </c>
      <c r="D219" s="36"/>
      <c r="F219" s="13"/>
    </row>
    <row r="220" spans="2:6" s="58" customFormat="1">
      <c r="B220" s="658" t="s">
        <v>544</v>
      </c>
      <c r="C220" s="659">
        <f>C216-C213</f>
        <v>9034.2599595873016</v>
      </c>
      <c r="D220" s="36"/>
      <c r="F220" s="13"/>
    </row>
    <row r="221" spans="2:6" s="58" customFormat="1">
      <c r="B221" s="658" t="s">
        <v>631</v>
      </c>
      <c r="C221" s="458">
        <f>C217-C213</f>
        <v>9466.4669124747597</v>
      </c>
      <c r="D221" s="36"/>
      <c r="F221" s="13"/>
    </row>
    <row r="222" spans="2:6" s="58" customFormat="1">
      <c r="B222" s="226" t="s">
        <v>301</v>
      </c>
      <c r="C222" s="227">
        <f>C214-C218</f>
        <v>2572.4431011037505</v>
      </c>
      <c r="D222" s="36"/>
      <c r="F222" s="13"/>
    </row>
    <row r="223" spans="2:6" s="58" customFormat="1">
      <c r="B223" s="226" t="s">
        <v>632</v>
      </c>
      <c r="C223" s="580">
        <f>C215-C219</f>
        <v>2572.4431011037505</v>
      </c>
      <c r="D223" s="36"/>
      <c r="F223" s="13"/>
    </row>
    <row r="224" spans="2:6" s="58" customFormat="1">
      <c r="B224" s="226" t="s">
        <v>546</v>
      </c>
      <c r="C224" s="580">
        <f>C216-C220</f>
        <v>2572.4431011037505</v>
      </c>
      <c r="D224" s="36"/>
      <c r="F224" s="13"/>
    </row>
    <row r="225" spans="2:8" s="58" customFormat="1">
      <c r="B225" s="226" t="s">
        <v>633</v>
      </c>
      <c r="C225" s="580">
        <f>C217-C221</f>
        <v>2572.4431011037505</v>
      </c>
      <c r="D225" s="36"/>
      <c r="F225" s="13"/>
    </row>
    <row r="226" spans="2:8" s="58" customFormat="1" ht="38.25" customHeight="1" thickBot="1">
      <c r="B226" s="1251" t="s">
        <v>463</v>
      </c>
      <c r="C226" s="1252"/>
      <c r="D226" s="36"/>
      <c r="F226" s="13"/>
    </row>
    <row r="227" spans="2:8" s="58" customFormat="1" ht="14.5" thickBot="1">
      <c r="D227" s="36"/>
      <c r="F227" s="13"/>
    </row>
    <row r="228" spans="2:8" s="58" customFormat="1" ht="24" customHeight="1" thickBot="1">
      <c r="B228" s="1087" t="s">
        <v>372</v>
      </c>
      <c r="C228" s="1214"/>
      <c r="D228" s="1215"/>
      <c r="E228" s="1215"/>
      <c r="F228" s="1215"/>
      <c r="G228" s="1215"/>
      <c r="H228" s="1216"/>
    </row>
    <row r="229" spans="2:8" s="58" customFormat="1" ht="27" customHeight="1">
      <c r="B229" s="165"/>
      <c r="C229" s="1239" t="s">
        <v>324</v>
      </c>
      <c r="D229" s="1240"/>
      <c r="E229" s="1241" t="s">
        <v>325</v>
      </c>
      <c r="F229" s="1242"/>
      <c r="G229" s="1243" t="s">
        <v>326</v>
      </c>
      <c r="H229" s="1244"/>
    </row>
    <row r="230" spans="2:8" s="58" customFormat="1" ht="28">
      <c r="B230" s="229" t="s">
        <v>238</v>
      </c>
      <c r="C230" s="230" t="s">
        <v>292</v>
      </c>
      <c r="D230" s="231" t="s">
        <v>327</v>
      </c>
      <c r="E230" s="232" t="s">
        <v>328</v>
      </c>
      <c r="F230" s="233" t="s">
        <v>329</v>
      </c>
      <c r="G230" s="234" t="s">
        <v>330</v>
      </c>
      <c r="H230" s="235" t="s">
        <v>331</v>
      </c>
    </row>
    <row r="231" spans="2:8" s="58" customFormat="1">
      <c r="B231" s="236" t="s">
        <v>332</v>
      </c>
      <c r="C231" s="237">
        <v>57720</v>
      </c>
      <c r="D231" s="238">
        <f>C231/$D$240</f>
        <v>5618163.448454421</v>
      </c>
      <c r="E231" s="239">
        <v>11067</v>
      </c>
      <c r="F231" s="240">
        <f>E231/$D$240</f>
        <v>1077204.0000700811</v>
      </c>
      <c r="G231" s="241">
        <f>(F231-D231)/D231</f>
        <v>-0.80826403326403329</v>
      </c>
      <c r="H231" s="242">
        <f>F231-D231</f>
        <v>-4540959.4483843399</v>
      </c>
    </row>
    <row r="232" spans="2:8" s="58" customFormat="1">
      <c r="B232" s="236" t="s">
        <v>333</v>
      </c>
      <c r="C232" s="237">
        <v>567</v>
      </c>
      <c r="D232" s="238">
        <f>C232/$D$239</f>
        <v>2892266.1146108173</v>
      </c>
      <c r="E232" s="239">
        <v>11958</v>
      </c>
      <c r="F232" s="240">
        <f>E232/$D$239</f>
        <v>60997739.327188984</v>
      </c>
      <c r="G232" s="243"/>
      <c r="H232" s="242">
        <f>F232-D232</f>
        <v>58105473.212578163</v>
      </c>
    </row>
    <row r="233" spans="2:8" s="58" customFormat="1">
      <c r="B233" s="236" t="s">
        <v>334</v>
      </c>
      <c r="C233" s="237">
        <f>SUM(C231:C232)</f>
        <v>58287</v>
      </c>
      <c r="D233" s="244"/>
      <c r="E233" s="239">
        <f>SUM(E231:E232)</f>
        <v>23025</v>
      </c>
      <c r="F233" s="244"/>
      <c r="G233" s="243"/>
      <c r="H233" s="244"/>
    </row>
    <row r="234" spans="2:8" s="58" customFormat="1">
      <c r="B234" s="229"/>
      <c r="C234" s="1245" t="s">
        <v>335</v>
      </c>
      <c r="D234" s="1246"/>
      <c r="E234" s="1247" t="s">
        <v>336</v>
      </c>
      <c r="F234" s="1248"/>
      <c r="G234" s="1249" t="s">
        <v>337</v>
      </c>
      <c r="H234" s="1250"/>
    </row>
    <row r="235" spans="2:8" s="58" customFormat="1" ht="28">
      <c r="B235" s="229" t="s">
        <v>238</v>
      </c>
      <c r="C235" s="230" t="s">
        <v>292</v>
      </c>
      <c r="D235" s="231" t="s">
        <v>327</v>
      </c>
      <c r="E235" s="232" t="s">
        <v>338</v>
      </c>
      <c r="F235" s="233" t="s">
        <v>329</v>
      </c>
      <c r="G235" s="234" t="s">
        <v>330</v>
      </c>
      <c r="H235" s="235" t="s">
        <v>331</v>
      </c>
    </row>
    <row r="236" spans="2:8" s="58" customFormat="1">
      <c r="B236" s="236" t="s">
        <v>332</v>
      </c>
      <c r="C236" s="237">
        <v>59011</v>
      </c>
      <c r="D236" s="238">
        <f>C236/$D$240</f>
        <v>5743822.648245736</v>
      </c>
      <c r="E236" s="239">
        <v>1511</v>
      </c>
      <c r="F236" s="240">
        <f>E236/$D$240</f>
        <v>147072.85118874966</v>
      </c>
      <c r="G236" s="241">
        <f>(F236-D236)/D236</f>
        <v>-0.97439460439579051</v>
      </c>
      <c r="H236" s="242">
        <f>F236-D236</f>
        <v>-5596749.797056986</v>
      </c>
    </row>
    <row r="237" spans="2:8" s="58" customFormat="1">
      <c r="B237" s="236" t="s">
        <v>333</v>
      </c>
      <c r="C237" s="237">
        <v>567</v>
      </c>
      <c r="D237" s="238">
        <f>C237/$D$239</f>
        <v>2892266.1146108173</v>
      </c>
      <c r="E237" s="239">
        <v>15100</v>
      </c>
      <c r="F237" s="240">
        <f>E237/$D$239</f>
        <v>77025076.420852453</v>
      </c>
      <c r="G237" s="243"/>
      <c r="H237" s="242">
        <f>F237-D237</f>
        <v>74132810.306241632</v>
      </c>
    </row>
    <row r="238" spans="2:8" s="58" customFormat="1" ht="14.5" thickBot="1">
      <c r="B238" s="245" t="s">
        <v>334</v>
      </c>
      <c r="C238" s="246">
        <f>SUM(C236:C237)</f>
        <v>59578</v>
      </c>
      <c r="D238" s="247"/>
      <c r="E238" s="248">
        <f>SUM(E236:E237)</f>
        <v>16611</v>
      </c>
      <c r="F238" s="247"/>
      <c r="G238" s="249"/>
      <c r="H238" s="247"/>
    </row>
    <row r="239" spans="2:8" s="58" customFormat="1" ht="14.5" thickBot="1">
      <c r="B239" s="1237" t="s">
        <v>339</v>
      </c>
      <c r="C239" s="1253"/>
      <c r="D239" s="250">
        <v>1.9604005217075104E-4</v>
      </c>
      <c r="E239" s="1226" t="s">
        <v>340</v>
      </c>
      <c r="F239" s="54"/>
    </row>
    <row r="240" spans="2:8" s="58" customFormat="1" ht="14.5" thickBot="1">
      <c r="B240" s="1229" t="s">
        <v>341</v>
      </c>
      <c r="C240" s="1254"/>
      <c r="D240" s="251">
        <f>Forecast!G144</f>
        <v>1.0273819999999999E-2</v>
      </c>
      <c r="E240" s="1226"/>
    </row>
    <row r="241" spans="2:6" s="58" customFormat="1" ht="14.5" thickBot="1">
      <c r="B241" s="1237" t="s">
        <v>342</v>
      </c>
      <c r="C241" s="1253"/>
      <c r="D241" s="252">
        <f>G231</f>
        <v>-0.80826403326403329</v>
      </c>
      <c r="E241" s="1226" t="s">
        <v>343</v>
      </c>
    </row>
    <row r="242" spans="2:6" s="58" customFormat="1" ht="14.5" thickBot="1">
      <c r="B242" s="1227" t="s">
        <v>344</v>
      </c>
      <c r="C242" s="1228"/>
      <c r="D242" s="201">
        <f>AVERAGE(D241,D243)</f>
        <v>-0.89132931882991184</v>
      </c>
      <c r="E242" s="1226"/>
    </row>
    <row r="243" spans="2:6" s="58" customFormat="1" ht="14.5" thickBot="1">
      <c r="B243" s="1227" t="s">
        <v>345</v>
      </c>
      <c r="C243" s="1228"/>
      <c r="D243" s="201">
        <f>G236</f>
        <v>-0.97439460439579051</v>
      </c>
      <c r="E243" s="1226"/>
    </row>
    <row r="244" spans="2:6" s="58" customFormat="1" ht="14.5" thickBot="1">
      <c r="B244" s="1229" t="s">
        <v>346</v>
      </c>
      <c r="C244" s="1230"/>
      <c r="D244" s="253">
        <f>D243</f>
        <v>-0.97439460439579051</v>
      </c>
      <c r="E244" s="1226"/>
    </row>
    <row r="245" spans="2:6" s="58" customFormat="1" ht="14.5" thickBot="1">
      <c r="B245" s="1237" t="s">
        <v>347</v>
      </c>
      <c r="C245" s="1238"/>
      <c r="D245" s="254">
        <f>-H232/H231</f>
        <v>12.795858204206585</v>
      </c>
      <c r="E245" s="1226" t="s">
        <v>348</v>
      </c>
    </row>
    <row r="246" spans="2:6" s="58" customFormat="1" ht="14.5" thickBot="1">
      <c r="B246" s="1227" t="s">
        <v>349</v>
      </c>
      <c r="C246" s="1228"/>
      <c r="D246" s="255">
        <f>AVERAGE(D245,D247)</f>
        <v>13.020773877585652</v>
      </c>
      <c r="E246" s="1226"/>
    </row>
    <row r="247" spans="2:6" s="58" customFormat="1" ht="14.5" thickBot="1">
      <c r="B247" s="1227" t="s">
        <v>350</v>
      </c>
      <c r="C247" s="1228"/>
      <c r="D247" s="255">
        <f>-H237/H236</f>
        <v>13.24568955096472</v>
      </c>
      <c r="E247" s="1226"/>
    </row>
    <row r="248" spans="2:6" s="58" customFormat="1" ht="14.5" thickBot="1">
      <c r="B248" s="1227" t="s">
        <v>686</v>
      </c>
      <c r="C248" s="1228"/>
      <c r="D248" s="1022">
        <f>AVERAGE(D247,D249)</f>
        <v>13.24568955096472</v>
      </c>
      <c r="E248" s="1226"/>
    </row>
    <row r="249" spans="2:6" s="58" customFormat="1" ht="14.5" thickBot="1">
      <c r="B249" s="1229" t="s">
        <v>351</v>
      </c>
      <c r="C249" s="1230"/>
      <c r="D249" s="256">
        <f>D247</f>
        <v>13.24568955096472</v>
      </c>
      <c r="E249" s="1226"/>
    </row>
    <row r="250" spans="2:6" s="58" customFormat="1" ht="85.5" customHeight="1" thickBot="1">
      <c r="B250" s="1217" t="s">
        <v>352</v>
      </c>
      <c r="C250" s="1218"/>
      <c r="D250" s="1218"/>
      <c r="E250" s="166" t="s">
        <v>353</v>
      </c>
    </row>
    <row r="251" spans="2:6" s="58" customFormat="1" ht="14.5" thickBot="1">
      <c r="D251" s="36"/>
      <c r="F251" s="13"/>
    </row>
    <row r="252" spans="2:6" s="11" customFormat="1" ht="21" customHeight="1" thickBot="1">
      <c r="B252" s="1231" t="s">
        <v>370</v>
      </c>
      <c r="C252" s="1143"/>
      <c r="D252" s="1143"/>
      <c r="E252" s="1144"/>
      <c r="F252" s="13"/>
    </row>
    <row r="253" spans="2:6" s="11" customFormat="1" ht="28">
      <c r="B253" s="447" t="s">
        <v>36</v>
      </c>
      <c r="C253" s="448" t="s">
        <v>70</v>
      </c>
      <c r="D253" s="1028" t="s">
        <v>71</v>
      </c>
      <c r="E253" s="449" t="s">
        <v>572</v>
      </c>
      <c r="F253" s="13"/>
    </row>
    <row r="254" spans="2:6" s="11" customFormat="1">
      <c r="B254" s="257" t="s">
        <v>92</v>
      </c>
      <c r="C254" s="258">
        <v>116411.192692536</v>
      </c>
      <c r="D254" s="1029">
        <v>121249.133461462</v>
      </c>
      <c r="E254" s="259">
        <f>(D254/C254)^(1/21)-1</f>
        <v>1.940866536300323E-3</v>
      </c>
      <c r="F254" s="13"/>
    </row>
    <row r="255" spans="2:6" s="11" customFormat="1">
      <c r="B255" s="257" t="s">
        <v>80</v>
      </c>
      <c r="C255" s="258">
        <v>373557.15307600005</v>
      </c>
      <c r="D255" s="1029">
        <v>402180.50577727996</v>
      </c>
      <c r="E255" s="259">
        <f t="shared" ref="E255:E274" si="8">(D255/C255)^(1/21)-1</f>
        <v>3.5219013730793947E-3</v>
      </c>
      <c r="F255" s="13"/>
    </row>
    <row r="256" spans="2:6" s="11" customFormat="1">
      <c r="B256" s="257" t="s">
        <v>78</v>
      </c>
      <c r="C256" s="258">
        <v>134631.67269250497</v>
      </c>
      <c r="D256" s="1029">
        <v>146984.32807815401</v>
      </c>
      <c r="E256" s="259">
        <f t="shared" si="8"/>
        <v>4.1889047565586424E-3</v>
      </c>
      <c r="F256" s="13"/>
    </row>
    <row r="257" spans="2:6" s="11" customFormat="1">
      <c r="B257" s="257" t="s">
        <v>89</v>
      </c>
      <c r="C257" s="258">
        <v>758106.77884571999</v>
      </c>
      <c r="D257" s="1029">
        <v>798860.76383820002</v>
      </c>
      <c r="E257" s="259">
        <f t="shared" si="8"/>
        <v>2.4965599256483451E-3</v>
      </c>
      <c r="F257" s="13"/>
    </row>
    <row r="258" spans="2:6" s="11" customFormat="1">
      <c r="B258" s="257" t="s">
        <v>83</v>
      </c>
      <c r="C258" s="258">
        <v>123523.43538503601</v>
      </c>
      <c r="D258" s="1029">
        <v>131762.73499934797</v>
      </c>
      <c r="E258" s="259">
        <f t="shared" si="8"/>
        <v>3.0795867293442747E-3</v>
      </c>
      <c r="F258" s="13"/>
    </row>
    <row r="259" spans="2:6" s="11" customFormat="1">
      <c r="B259" s="257" t="s">
        <v>81</v>
      </c>
      <c r="C259" s="258">
        <v>974407.25884739996</v>
      </c>
      <c r="D259" s="1029">
        <v>1046503.6076899999</v>
      </c>
      <c r="E259" s="259">
        <f t="shared" si="8"/>
        <v>3.4048616450537139E-3</v>
      </c>
      <c r="F259" s="13"/>
    </row>
    <row r="260" spans="2:6" s="11" customFormat="1">
      <c r="B260" s="257" t="s">
        <v>72</v>
      </c>
      <c r="C260" s="258">
        <v>329576.51308133005</v>
      </c>
      <c r="D260" s="1029">
        <v>376626.89961821999</v>
      </c>
      <c r="E260" s="259">
        <f t="shared" si="8"/>
        <v>6.3748287337099807E-3</v>
      </c>
      <c r="F260" s="13"/>
    </row>
    <row r="261" spans="2:6" s="11" customFormat="1">
      <c r="B261" s="257" t="s">
        <v>87</v>
      </c>
      <c r="C261" s="258">
        <v>491961.55231028004</v>
      </c>
      <c r="D261" s="1029">
        <v>519250.21961225994</v>
      </c>
      <c r="E261" s="259">
        <f t="shared" si="8"/>
        <v>2.5740365853397229E-3</v>
      </c>
      <c r="F261" s="13"/>
    </row>
    <row r="262" spans="2:6" s="11" customFormat="1">
      <c r="B262" s="257" t="s">
        <v>84</v>
      </c>
      <c r="C262" s="258">
        <v>287615.5430761</v>
      </c>
      <c r="D262" s="1029">
        <v>306789.57000024</v>
      </c>
      <c r="E262" s="259">
        <f t="shared" si="8"/>
        <v>3.0779368819775499E-3</v>
      </c>
      <c r="F262" s="13"/>
    </row>
    <row r="263" spans="2:6" s="11" customFormat="1">
      <c r="B263" s="257" t="s">
        <v>79</v>
      </c>
      <c r="C263" s="258">
        <v>120832.46115365102</v>
      </c>
      <c r="D263" s="1029">
        <v>130379.9676918966</v>
      </c>
      <c r="E263" s="259">
        <f t="shared" si="8"/>
        <v>3.6279005835795353E-3</v>
      </c>
      <c r="F263" s="13"/>
    </row>
    <row r="264" spans="2:6" s="11" customFormat="1">
      <c r="B264" s="257" t="s">
        <v>91</v>
      </c>
      <c r="C264" s="258">
        <v>771448.15961262002</v>
      </c>
      <c r="D264" s="1029">
        <v>808646.46962498</v>
      </c>
      <c r="E264" s="259">
        <f t="shared" si="8"/>
        <v>2.2450091022374608E-3</v>
      </c>
      <c r="F264" s="13"/>
    </row>
    <row r="265" spans="2:6" s="11" customFormat="1">
      <c r="B265" s="257" t="s">
        <v>73</v>
      </c>
      <c r="C265" s="258">
        <v>306246.58692279999</v>
      </c>
      <c r="D265" s="1029">
        <v>348578.27615345997</v>
      </c>
      <c r="E265" s="259">
        <f t="shared" si="8"/>
        <v>6.1843875438747364E-3</v>
      </c>
      <c r="F265" s="13"/>
    </row>
    <row r="266" spans="2:6" s="11" customFormat="1">
      <c r="B266" s="257" t="s">
        <v>88</v>
      </c>
      <c r="C266" s="258">
        <v>458124.65500408004</v>
      </c>
      <c r="D266" s="1029">
        <v>483467.27000312001</v>
      </c>
      <c r="E266" s="259">
        <f t="shared" si="8"/>
        <v>2.5672086573840236E-3</v>
      </c>
      <c r="F266" s="13"/>
    </row>
    <row r="267" spans="2:6" s="11" customFormat="1">
      <c r="B267" s="257" t="s">
        <v>86</v>
      </c>
      <c r="C267" s="258">
        <v>124187.88500097001</v>
      </c>
      <c r="D267" s="1029">
        <v>131169.893845563</v>
      </c>
      <c r="E267" s="259">
        <f t="shared" si="8"/>
        <v>2.6080503984751147E-3</v>
      </c>
      <c r="F267" s="13"/>
    </row>
    <row r="268" spans="2:6" s="11" customFormat="1">
      <c r="B268" s="257" t="s">
        <v>77</v>
      </c>
      <c r="C268" s="258">
        <v>1526143.1053860001</v>
      </c>
      <c r="D268" s="1029">
        <v>1669951.4538425999</v>
      </c>
      <c r="E268" s="259">
        <f t="shared" si="8"/>
        <v>4.2973429184738343E-3</v>
      </c>
      <c r="F268" s="13"/>
    </row>
    <row r="269" spans="2:6" s="11" customFormat="1">
      <c r="B269" s="257" t="s">
        <v>74</v>
      </c>
      <c r="C269" s="258">
        <v>578635.39308197994</v>
      </c>
      <c r="D269" s="1029">
        <v>645673.64114713995</v>
      </c>
      <c r="E269" s="259">
        <f t="shared" si="8"/>
        <v>5.2337252819179003E-3</v>
      </c>
      <c r="F269" s="13"/>
    </row>
    <row r="270" spans="2:6" s="11" customFormat="1">
      <c r="B270" s="257" t="s">
        <v>85</v>
      </c>
      <c r="C270" s="258">
        <v>560085.12538410001</v>
      </c>
      <c r="D270" s="1029">
        <v>595769.95230432006</v>
      </c>
      <c r="E270" s="259">
        <f t="shared" si="8"/>
        <v>2.9455594074243585E-3</v>
      </c>
      <c r="F270" s="13"/>
    </row>
    <row r="271" spans="2:6" s="11" customFormat="1">
      <c r="B271" s="257" t="s">
        <v>76</v>
      </c>
      <c r="C271" s="258">
        <v>1677442.3149992002</v>
      </c>
      <c r="D271" s="1029">
        <v>1836504.3499961998</v>
      </c>
      <c r="E271" s="259">
        <f t="shared" si="8"/>
        <v>4.3233068863559598E-3</v>
      </c>
      <c r="F271" s="13"/>
    </row>
    <row r="272" spans="2:6" s="11" customFormat="1">
      <c r="B272" s="257" t="s">
        <v>82</v>
      </c>
      <c r="C272" s="258">
        <v>1134839.0084566001</v>
      </c>
      <c r="D272" s="1029">
        <v>1215690.6115472002</v>
      </c>
      <c r="E272" s="259">
        <f t="shared" si="8"/>
        <v>3.2825912638181354E-3</v>
      </c>
      <c r="F272" s="13"/>
    </row>
    <row r="273" spans="2:6" s="11" customFormat="1">
      <c r="B273" s="257" t="s">
        <v>75</v>
      </c>
      <c r="C273" s="258">
        <v>1048413.75577622</v>
      </c>
      <c r="D273" s="1029">
        <v>1152923.4573021999</v>
      </c>
      <c r="E273" s="259">
        <f t="shared" si="8"/>
        <v>4.5351356113805252E-3</v>
      </c>
      <c r="F273" s="13"/>
    </row>
    <row r="274" spans="2:6" s="11" customFormat="1">
      <c r="B274" s="257" t="s">
        <v>90</v>
      </c>
      <c r="C274" s="258">
        <v>114791.654615698</v>
      </c>
      <c r="D274" s="1029">
        <v>120928.761153856</v>
      </c>
      <c r="E274" s="259">
        <f t="shared" si="8"/>
        <v>2.4832130867247226E-3</v>
      </c>
      <c r="F274" s="13"/>
    </row>
    <row r="275" spans="2:6" s="11" customFormat="1" ht="29.25" customHeight="1" thickBot="1">
      <c r="B275" s="1232" t="s">
        <v>101</v>
      </c>
      <c r="C275" s="1233"/>
      <c r="D275" s="1233"/>
      <c r="E275" s="1234"/>
      <c r="F275" s="13"/>
    </row>
  </sheetData>
  <mergeCells count="41">
    <mergeCell ref="B209:C209"/>
    <mergeCell ref="B169:D169"/>
    <mergeCell ref="B177:F177"/>
    <mergeCell ref="B245:C245"/>
    <mergeCell ref="B228:H228"/>
    <mergeCell ref="C229:D229"/>
    <mergeCell ref="E229:F229"/>
    <mergeCell ref="G229:H229"/>
    <mergeCell ref="C234:D234"/>
    <mergeCell ref="E234:F234"/>
    <mergeCell ref="G234:H234"/>
    <mergeCell ref="B226:C226"/>
    <mergeCell ref="B239:C239"/>
    <mergeCell ref="E239:E240"/>
    <mergeCell ref="B240:C240"/>
    <mergeCell ref="B241:C241"/>
    <mergeCell ref="B252:E252"/>
    <mergeCell ref="B275:E275"/>
    <mergeCell ref="E245:E249"/>
    <mergeCell ref="B246:C246"/>
    <mergeCell ref="B247:C247"/>
    <mergeCell ref="B249:C249"/>
    <mergeCell ref="E241:E244"/>
    <mergeCell ref="B242:C242"/>
    <mergeCell ref="B243:C243"/>
    <mergeCell ref="B244:C244"/>
    <mergeCell ref="B250:D250"/>
    <mergeCell ref="B248:C248"/>
    <mergeCell ref="B185:C185"/>
    <mergeCell ref="B2:E2"/>
    <mergeCell ref="B27:C27"/>
    <mergeCell ref="B63:C63"/>
    <mergeCell ref="B117:C117"/>
    <mergeCell ref="B133:F133"/>
    <mergeCell ref="B172:G172"/>
    <mergeCell ref="B4:D4"/>
    <mergeCell ref="B170:D170"/>
    <mergeCell ref="B29:C29"/>
    <mergeCell ref="D5:D15"/>
    <mergeCell ref="D16:D26"/>
    <mergeCell ref="B179:G179"/>
  </mergeCells>
  <phoneticPr fontId="89" type="noConversion"/>
  <hyperlinks>
    <hyperlink ref="D27" r:id="rId1" xr:uid="{00000000-0004-0000-0400-000004000000}"/>
    <hyperlink ref="G177" r:id="rId2" xr:uid="{00000000-0004-0000-0400-000005000000}"/>
    <hyperlink ref="E169" r:id="rId3" xr:uid="{00000000-0004-0000-0400-000006000000}"/>
    <hyperlink ref="E250" r:id="rId4" xr:uid="{E511B6F4-CA3A-46FD-A4E1-F77A60508DF8}"/>
    <hyperlink ref="E170" r:id="rId5" xr:uid="{1E47FF14-6AB0-4F54-8533-179F00EA2619}"/>
    <hyperlink ref="C61" r:id="rId6" xr:uid="{491322D1-B00C-496C-8D35-29232262A2E3}"/>
  </hyperlinks>
  <pageMargins left="0.7" right="0.7" top="0.75" bottom="0.75" header="0.3" footer="0.3"/>
  <pageSetup orientation="portrait" r:id="rId7"/>
  <ignoredErrors>
    <ignoredError sqref="D24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B1:P147"/>
  <sheetViews>
    <sheetView showGridLines="0" topLeftCell="A4" zoomScaleNormal="100" workbookViewId="0">
      <selection activeCell="G59" sqref="G59"/>
    </sheetView>
  </sheetViews>
  <sheetFormatPr defaultColWidth="9.08203125" defaultRowHeight="12.5"/>
  <cols>
    <col min="1" max="1" width="1.6640625" style="2" customWidth="1"/>
    <col min="2" max="2" width="27.6640625" style="1" customWidth="1"/>
    <col min="3" max="4" width="14.58203125" style="1" customWidth="1"/>
    <col min="5" max="5" width="15.08203125" style="1" customWidth="1"/>
    <col min="6" max="6" width="19.83203125" style="1" customWidth="1"/>
    <col min="7" max="7" width="18.58203125" style="1" customWidth="1"/>
    <col min="8" max="8" width="14.58203125" style="1" customWidth="1"/>
    <col min="9" max="9" width="16.4140625" style="1" customWidth="1"/>
    <col min="10" max="10" width="15.08203125" style="1" customWidth="1"/>
    <col min="11" max="11" width="12.1640625" style="2" customWidth="1"/>
    <col min="12" max="12" width="11.08203125" style="2" customWidth="1"/>
    <col min="13" max="17" width="9.08203125" style="2" customWidth="1"/>
    <col min="18" max="18" width="26.58203125" style="2" customWidth="1"/>
    <col min="19" max="19" width="18.58203125" style="2" customWidth="1"/>
    <col min="20" max="20" width="23.9140625" style="2" customWidth="1"/>
    <col min="21" max="16384" width="9.08203125" style="2"/>
  </cols>
  <sheetData>
    <row r="1" spans="2:16" ht="10.5" customHeight="1" thickBot="1">
      <c r="J1" s="27"/>
      <c r="K1" s="29"/>
      <c r="L1" s="29"/>
      <c r="M1" s="29"/>
    </row>
    <row r="2" spans="2:16" ht="32.25" customHeight="1" thickBot="1">
      <c r="B2" s="1209" t="s">
        <v>99</v>
      </c>
      <c r="C2" s="1210"/>
      <c r="D2" s="1210"/>
      <c r="E2" s="1210"/>
      <c r="F2" s="1269"/>
      <c r="G2" s="1269"/>
      <c r="H2" s="1269"/>
      <c r="I2" s="1270"/>
      <c r="J2" s="27"/>
      <c r="K2" s="29"/>
      <c r="L2" s="29"/>
      <c r="M2" s="29"/>
      <c r="P2" s="25"/>
    </row>
    <row r="3" spans="2:16" ht="10.5" customHeight="1" thickBot="1">
      <c r="J3" s="27"/>
      <c r="K3" s="29"/>
      <c r="L3" s="29"/>
      <c r="M3" s="29"/>
    </row>
    <row r="4" spans="2:16" ht="21" customHeight="1">
      <c r="B4" s="1276" t="s">
        <v>55</v>
      </c>
      <c r="C4" s="1277"/>
      <c r="D4" s="1277"/>
      <c r="E4" s="1277"/>
      <c r="F4" s="1277"/>
      <c r="G4" s="1277"/>
      <c r="H4" s="1277"/>
      <c r="I4" s="1277"/>
      <c r="J4" s="1278"/>
      <c r="L4" s="1"/>
      <c r="M4" s="1"/>
      <c r="N4" s="27"/>
    </row>
    <row r="5" spans="2:16" ht="28">
      <c r="B5" s="146" t="s">
        <v>36</v>
      </c>
      <c r="C5" s="147">
        <v>2010</v>
      </c>
      <c r="D5" s="147">
        <v>2015</v>
      </c>
      <c r="E5" s="147">
        <v>2020</v>
      </c>
      <c r="F5" s="147">
        <v>2025</v>
      </c>
      <c r="G5" s="147">
        <v>2030</v>
      </c>
      <c r="H5" s="147">
        <v>2035</v>
      </c>
      <c r="I5" s="260">
        <v>2040</v>
      </c>
      <c r="J5" s="267" t="s">
        <v>288</v>
      </c>
      <c r="L5" s="1"/>
      <c r="M5" s="1"/>
      <c r="N5" s="29"/>
    </row>
    <row r="6" spans="2:16" ht="14" hidden="1">
      <c r="B6" s="35" t="s">
        <v>92</v>
      </c>
      <c r="C6" s="33">
        <v>2330</v>
      </c>
      <c r="D6" s="33">
        <f t="shared" ref="D6:D27" si="0">$C6*(1+$J6)^5</f>
        <v>2351.1794941365893</v>
      </c>
      <c r="E6" s="33">
        <f t="shared" ref="E6:E27" si="1">$C6*(1+$J6)^10</f>
        <v>2372.5515080035998</v>
      </c>
      <c r="F6" s="33">
        <f t="shared" ref="F6:F27" si="2">$C6*(1+$J6)^15</f>
        <v>2394.1177915883718</v>
      </c>
      <c r="G6" s="33">
        <f t="shared" ref="G6:G27" si="3">$C6*(1+$J6)^20</f>
        <v>2415.8801107854742</v>
      </c>
      <c r="H6" s="33">
        <f t="shared" ref="H6:H27" si="4">$C6*(1+$J6)^25</f>
        <v>2437.840247541305</v>
      </c>
      <c r="I6" s="261">
        <v>2460</v>
      </c>
      <c r="J6" s="265">
        <f>(I6/C6)^(1/30)-1</f>
        <v>1.8114080332443105E-3</v>
      </c>
      <c r="L6" s="1"/>
      <c r="M6" s="1"/>
      <c r="N6" s="29"/>
    </row>
    <row r="7" spans="2:16" ht="14" hidden="1">
      <c r="B7" s="35" t="s">
        <v>80</v>
      </c>
      <c r="C7" s="33">
        <v>10575</v>
      </c>
      <c r="D7" s="33">
        <f t="shared" si="0"/>
        <v>10739.316578783675</v>
      </c>
      <c r="E7" s="33">
        <f t="shared" si="1"/>
        <v>10906.186343199799</v>
      </c>
      <c r="F7" s="33">
        <f t="shared" si="2"/>
        <v>11075.648965184841</v>
      </c>
      <c r="G7" s="33">
        <f t="shared" si="3"/>
        <v>11247.744733106178</v>
      </c>
      <c r="H7" s="33">
        <f t="shared" si="4"/>
        <v>11422.514561340324</v>
      </c>
      <c r="I7" s="261">
        <v>11600</v>
      </c>
      <c r="J7" s="265">
        <f t="shared" ref="J7:J27" si="5">(I7/C7)^(1/30)-1</f>
        <v>3.0885054079052843E-3</v>
      </c>
      <c r="L7" s="1"/>
      <c r="M7" s="1"/>
      <c r="N7" s="29"/>
    </row>
    <row r="8" spans="2:16" ht="14" hidden="1">
      <c r="B8" s="35" t="s">
        <v>78</v>
      </c>
      <c r="C8" s="33">
        <v>1821</v>
      </c>
      <c r="D8" s="33">
        <f t="shared" si="0"/>
        <v>2245.3719026764029</v>
      </c>
      <c r="E8" s="33">
        <f t="shared" si="1"/>
        <v>2768.6408464188075</v>
      </c>
      <c r="F8" s="33">
        <f t="shared" si="2"/>
        <v>3413.8541269363004</v>
      </c>
      <c r="G8" s="33">
        <f t="shared" si="3"/>
        <v>4209.4300584616421</v>
      </c>
      <c r="H8" s="33">
        <f t="shared" si="4"/>
        <v>5190.4096537898185</v>
      </c>
      <c r="I8" s="261">
        <v>6400</v>
      </c>
      <c r="J8" s="264">
        <f t="shared" si="5"/>
        <v>4.2787142261551114E-2</v>
      </c>
      <c r="L8" s="1"/>
      <c r="M8" s="1"/>
      <c r="N8" s="29"/>
    </row>
    <row r="9" spans="2:16" ht="14" hidden="1">
      <c r="B9" s="35" t="s">
        <v>89</v>
      </c>
      <c r="C9" s="33">
        <v>12361</v>
      </c>
      <c r="D9" s="33">
        <f t="shared" si="0"/>
        <v>12582.350773757624</v>
      </c>
      <c r="E9" s="33">
        <f t="shared" si="1"/>
        <v>12807.66531784476</v>
      </c>
      <c r="F9" s="33">
        <f t="shared" si="2"/>
        <v>13037.014612249224</v>
      </c>
      <c r="G9" s="33">
        <f t="shared" si="3"/>
        <v>13270.470908010964</v>
      </c>
      <c r="H9" s="33">
        <f t="shared" si="4"/>
        <v>13508.107749982993</v>
      </c>
      <c r="I9" s="261">
        <v>13750</v>
      </c>
      <c r="J9" s="264">
        <f t="shared" si="5"/>
        <v>3.5560567939687537E-3</v>
      </c>
      <c r="L9" s="1"/>
      <c r="M9" s="1"/>
      <c r="N9" s="29"/>
    </row>
    <row r="10" spans="2:16" ht="14" hidden="1">
      <c r="B10" s="35" t="s">
        <v>83</v>
      </c>
      <c r="C10" s="33">
        <v>412</v>
      </c>
      <c r="D10" s="33">
        <f t="shared" si="0"/>
        <v>472.71819892346286</v>
      </c>
      <c r="E10" s="33">
        <f t="shared" si="1"/>
        <v>542.38469804233637</v>
      </c>
      <c r="F10" s="33">
        <f t="shared" si="2"/>
        <v>622.31824655878518</v>
      </c>
      <c r="G10" s="33">
        <f t="shared" si="3"/>
        <v>714.03194337494278</v>
      </c>
      <c r="H10" s="33">
        <f t="shared" si="4"/>
        <v>819.26187923791974</v>
      </c>
      <c r="I10" s="261">
        <v>940</v>
      </c>
      <c r="J10" s="264">
        <f t="shared" si="5"/>
        <v>2.7876699306517372E-2</v>
      </c>
      <c r="L10" s="1"/>
      <c r="M10" s="1"/>
      <c r="N10" s="29"/>
    </row>
    <row r="11" spans="2:16" ht="14" hidden="1">
      <c r="B11" s="35" t="s">
        <v>81</v>
      </c>
      <c r="C11" s="33">
        <v>31090</v>
      </c>
      <c r="D11" s="33">
        <f t="shared" si="0"/>
        <v>31829.594520191258</v>
      </c>
      <c r="E11" s="33">
        <f t="shared" si="1"/>
        <v>32586.783123827252</v>
      </c>
      <c r="F11" s="33">
        <f t="shared" si="2"/>
        <v>33361.984353452324</v>
      </c>
      <c r="G11" s="33">
        <f t="shared" si="3"/>
        <v>34155.626708245487</v>
      </c>
      <c r="H11" s="33">
        <f t="shared" si="4"/>
        <v>34968.148880877088</v>
      </c>
      <c r="I11" s="261">
        <v>35800</v>
      </c>
      <c r="J11" s="264">
        <f t="shared" si="5"/>
        <v>4.7131276551097834E-3</v>
      </c>
      <c r="L11" s="1"/>
      <c r="M11" s="1"/>
      <c r="N11" s="29"/>
    </row>
    <row r="12" spans="2:16" ht="14" hidden="1">
      <c r="B12" s="35" t="s">
        <v>72</v>
      </c>
      <c r="C12" s="33">
        <v>6940</v>
      </c>
      <c r="D12" s="33">
        <f t="shared" si="0"/>
        <v>7206.4177490912234</v>
      </c>
      <c r="E12" s="33">
        <f t="shared" si="1"/>
        <v>7483.0629357949574</v>
      </c>
      <c r="F12" s="33">
        <f t="shared" si="2"/>
        <v>7770.3281783976154</v>
      </c>
      <c r="G12" s="33">
        <f t="shared" si="3"/>
        <v>8068.6211673008993</v>
      </c>
      <c r="H12" s="33">
        <f t="shared" si="4"/>
        <v>8378.3652436210868</v>
      </c>
      <c r="I12" s="261">
        <v>8700</v>
      </c>
      <c r="J12" s="264">
        <f t="shared" si="5"/>
        <v>7.5624940056553402E-3</v>
      </c>
      <c r="L12" s="1"/>
      <c r="M12" s="1"/>
      <c r="N12" s="29"/>
    </row>
    <row r="13" spans="2:16" ht="14" hidden="1">
      <c r="B13" s="35" t="s">
        <v>87</v>
      </c>
      <c r="C13" s="33">
        <v>12016</v>
      </c>
      <c r="D13" s="33">
        <f t="shared" si="0"/>
        <v>12482.342385661768</v>
      </c>
      <c r="E13" s="33">
        <f t="shared" si="1"/>
        <v>12966.783574641171</v>
      </c>
      <c r="F13" s="33">
        <f t="shared" si="2"/>
        <v>13470.025983642337</v>
      </c>
      <c r="G13" s="33">
        <f t="shared" si="3"/>
        <v>13992.799290245013</v>
      </c>
      <c r="H13" s="33">
        <f>$C13*(1+$J13)^25</f>
        <v>14535.861490902398</v>
      </c>
      <c r="I13" s="261">
        <v>15100</v>
      </c>
      <c r="J13" s="264">
        <f t="shared" si="5"/>
        <v>7.6442575821935588E-3</v>
      </c>
      <c r="L13" s="1"/>
      <c r="M13" s="1"/>
      <c r="N13" s="29"/>
    </row>
    <row r="14" spans="2:16" ht="14" hidden="1">
      <c r="B14" s="35" t="s">
        <v>84</v>
      </c>
      <c r="C14" s="33">
        <v>4149</v>
      </c>
      <c r="D14" s="33">
        <f t="shared" si="0"/>
        <v>4217.908057417877</v>
      </c>
      <c r="E14" s="33">
        <f t="shared" si="1"/>
        <v>4287.9605641915286</v>
      </c>
      <c r="F14" s="33">
        <f t="shared" si="2"/>
        <v>4359.1765277400709</v>
      </c>
      <c r="G14" s="33">
        <f t="shared" si="3"/>
        <v>4431.5752711645528</v>
      </c>
      <c r="H14" s="33">
        <f t="shared" si="4"/>
        <v>4505.1764384909093</v>
      </c>
      <c r="I14" s="261">
        <v>4580</v>
      </c>
      <c r="J14" s="264">
        <f t="shared" si="5"/>
        <v>3.2998210210768431E-3</v>
      </c>
      <c r="L14" s="1"/>
      <c r="M14" s="1"/>
      <c r="N14" s="29"/>
    </row>
    <row r="15" spans="2:16" ht="14" hidden="1">
      <c r="B15" s="35" t="s">
        <v>79</v>
      </c>
      <c r="C15" s="33">
        <v>3693</v>
      </c>
      <c r="D15" s="33">
        <f t="shared" si="0"/>
        <v>3728.3117188218789</v>
      </c>
      <c r="E15" s="33">
        <f t="shared" si="1"/>
        <v>3763.9610811547664</v>
      </c>
      <c r="F15" s="33">
        <f t="shared" si="2"/>
        <v>3799.9513154776027</v>
      </c>
      <c r="G15" s="33">
        <f t="shared" si="3"/>
        <v>3836.2856811393885</v>
      </c>
      <c r="H15" s="33">
        <f t="shared" si="4"/>
        <v>3872.9674686543613</v>
      </c>
      <c r="I15" s="261">
        <v>3910</v>
      </c>
      <c r="J15" s="264">
        <f t="shared" si="5"/>
        <v>1.9050869809722482E-3</v>
      </c>
      <c r="L15" s="1"/>
      <c r="M15" s="1"/>
      <c r="N15" s="29"/>
    </row>
    <row r="16" spans="2:16" ht="14" hidden="1">
      <c r="B16" s="35" t="s">
        <v>91</v>
      </c>
      <c r="C16" s="33">
        <v>12347</v>
      </c>
      <c r="D16" s="33">
        <f t="shared" si="0"/>
        <v>13110.826930270106</v>
      </c>
      <c r="E16" s="33">
        <f t="shared" si="1"/>
        <v>13921.906762411585</v>
      </c>
      <c r="F16" s="33">
        <f t="shared" si="2"/>
        <v>14783.162719797143</v>
      </c>
      <c r="G16" s="33">
        <f t="shared" si="3"/>
        <v>15697.69886622511</v>
      </c>
      <c r="H16" s="33">
        <f t="shared" si="4"/>
        <v>16668.811293316165</v>
      </c>
      <c r="I16" s="261">
        <v>17700</v>
      </c>
      <c r="J16" s="264">
        <f t="shared" si="5"/>
        <v>1.2077400552299444E-2</v>
      </c>
      <c r="L16" s="1"/>
      <c r="M16" s="1"/>
      <c r="N16" s="29"/>
    </row>
    <row r="17" spans="2:14" ht="14" hidden="1">
      <c r="B17" s="35" t="s">
        <v>73</v>
      </c>
      <c r="C17" s="33">
        <v>7994</v>
      </c>
      <c r="D17" s="33">
        <f t="shared" si="0"/>
        <v>8262.9962543018719</v>
      </c>
      <c r="E17" s="33">
        <f t="shared" si="1"/>
        <v>8541.0441704536861</v>
      </c>
      <c r="F17" s="33">
        <f t="shared" si="2"/>
        <v>8828.4483347867954</v>
      </c>
      <c r="G17" s="33">
        <f t="shared" si="3"/>
        <v>9125.5235828922778</v>
      </c>
      <c r="H17" s="33">
        <f t="shared" si="4"/>
        <v>9432.5953445061659</v>
      </c>
      <c r="I17" s="261">
        <v>9750</v>
      </c>
      <c r="J17" s="264">
        <f t="shared" si="5"/>
        <v>6.6411561492982774E-3</v>
      </c>
      <c r="L17" s="1"/>
      <c r="M17" s="1"/>
      <c r="N17" s="29"/>
    </row>
    <row r="18" spans="2:14" ht="14">
      <c r="B18" s="35" t="s">
        <v>88</v>
      </c>
      <c r="C18" s="33">
        <v>13967</v>
      </c>
      <c r="D18" s="33">
        <f t="shared" si="0"/>
        <v>14057.681961245622</v>
      </c>
      <c r="E18" s="33">
        <f t="shared" si="1"/>
        <v>14148.952683004978</v>
      </c>
      <c r="F18" s="33">
        <f t="shared" si="2"/>
        <v>14240.815987856871</v>
      </c>
      <c r="G18" s="33">
        <f t="shared" si="3"/>
        <v>14333.275723198522</v>
      </c>
      <c r="H18" s="33">
        <f t="shared" si="4"/>
        <v>14426.335761406715</v>
      </c>
      <c r="I18" s="261">
        <v>14520</v>
      </c>
      <c r="J18" s="264">
        <f t="shared" si="5"/>
        <v>1.2951581629556674E-3</v>
      </c>
      <c r="L18" s="1"/>
      <c r="M18" s="1"/>
      <c r="N18" s="29"/>
    </row>
    <row r="19" spans="2:14" ht="12.75" hidden="1" customHeight="1">
      <c r="B19" s="35" t="s">
        <v>86</v>
      </c>
      <c r="C19" s="33">
        <v>1746</v>
      </c>
      <c r="D19" s="33">
        <f t="shared" si="0"/>
        <v>1754.8861657580071</v>
      </c>
      <c r="E19" s="33">
        <f t="shared" si="1"/>
        <v>1763.8175571413742</v>
      </c>
      <c r="F19" s="33">
        <f t="shared" si="2"/>
        <v>1772.794404323299</v>
      </c>
      <c r="G19" s="33">
        <f t="shared" si="3"/>
        <v>1781.8169386484335</v>
      </c>
      <c r="H19" s="33">
        <f t="shared" si="4"/>
        <v>1790.8853926388431</v>
      </c>
      <c r="I19" s="261">
        <v>1800</v>
      </c>
      <c r="J19" s="264">
        <f t="shared" si="5"/>
        <v>1.0158225147061106E-3</v>
      </c>
      <c r="L19" s="1"/>
      <c r="M19" s="1"/>
      <c r="N19" s="29"/>
    </row>
    <row r="20" spans="2:14" ht="14" hidden="1">
      <c r="B20" s="35" t="s">
        <v>77</v>
      </c>
      <c r="C20" s="33">
        <v>27957</v>
      </c>
      <c r="D20" s="33">
        <f t="shared" si="0"/>
        <v>29437.186633744921</v>
      </c>
      <c r="E20" s="33">
        <f t="shared" si="1"/>
        <v>30995.74192187755</v>
      </c>
      <c r="F20" s="33">
        <f t="shared" si="2"/>
        <v>32636.815101967339</v>
      </c>
      <c r="G20" s="33">
        <f t="shared" si="3"/>
        <v>34364.775093451986</v>
      </c>
      <c r="H20" s="33">
        <f t="shared" si="4"/>
        <v>36184.222128719652</v>
      </c>
      <c r="I20" s="261">
        <v>38100</v>
      </c>
      <c r="J20" s="264">
        <f t="shared" si="5"/>
        <v>1.0371638639687264E-2</v>
      </c>
      <c r="L20" s="1"/>
      <c r="M20" s="1"/>
      <c r="N20" s="29"/>
    </row>
    <row r="21" spans="2:14" ht="14" hidden="1">
      <c r="B21" s="35" t="s">
        <v>74</v>
      </c>
      <c r="C21" s="33">
        <v>14701</v>
      </c>
      <c r="D21" s="33">
        <f t="shared" si="0"/>
        <v>15198.467768349408</v>
      </c>
      <c r="E21" s="33">
        <f t="shared" si="1"/>
        <v>15712.769369808571</v>
      </c>
      <c r="F21" s="33">
        <f t="shared" si="2"/>
        <v>16244.474445176753</v>
      </c>
      <c r="G21" s="33">
        <f t="shared" si="3"/>
        <v>16794.171911352594</v>
      </c>
      <c r="H21" s="33">
        <f t="shared" si="4"/>
        <v>17362.470613618898</v>
      </c>
      <c r="I21" s="261">
        <v>17950</v>
      </c>
      <c r="J21" s="264">
        <f t="shared" si="5"/>
        <v>6.6780190681341445E-3</v>
      </c>
      <c r="L21" s="1"/>
      <c r="M21" s="1"/>
      <c r="N21" s="29"/>
    </row>
    <row r="22" spans="2:14" ht="14" hidden="1">
      <c r="B22" s="35" t="s">
        <v>85</v>
      </c>
      <c r="C22" s="33">
        <v>11524</v>
      </c>
      <c r="D22" s="33">
        <f t="shared" si="0"/>
        <v>11903.939581762914</v>
      </c>
      <c r="E22" s="33">
        <f t="shared" si="1"/>
        <v>12296.405550699568</v>
      </c>
      <c r="F22" s="33">
        <f t="shared" si="2"/>
        <v>12701.810894514216</v>
      </c>
      <c r="G22" s="33">
        <f t="shared" si="3"/>
        <v>13120.582216875666</v>
      </c>
      <c r="H22" s="33">
        <f t="shared" si="4"/>
        <v>13553.160186327737</v>
      </c>
      <c r="I22" s="261">
        <v>14000</v>
      </c>
      <c r="J22" s="265">
        <f t="shared" si="5"/>
        <v>6.5086066002375542E-3</v>
      </c>
      <c r="L22" s="1"/>
      <c r="M22" s="1"/>
      <c r="N22" s="29"/>
    </row>
    <row r="23" spans="2:14" ht="14" hidden="1">
      <c r="B23" s="35" t="s">
        <v>76</v>
      </c>
      <c r="C23" s="33">
        <v>38233</v>
      </c>
      <c r="D23" s="33">
        <f t="shared" si="0"/>
        <v>40087.527056638115</v>
      </c>
      <c r="E23" s="33">
        <f t="shared" si="1"/>
        <v>42032.009664862635</v>
      </c>
      <c r="F23" s="33">
        <f t="shared" si="2"/>
        <v>44070.811201973571</v>
      </c>
      <c r="G23" s="33">
        <f t="shared" si="3"/>
        <v>46208.506694926</v>
      </c>
      <c r="H23" s="33">
        <f t="shared" si="4"/>
        <v>48449.893086592463</v>
      </c>
      <c r="I23" s="261">
        <v>50800</v>
      </c>
      <c r="J23" s="265">
        <f t="shared" si="5"/>
        <v>9.5182577946182345E-3</v>
      </c>
      <c r="L23" s="1"/>
      <c r="M23" s="1"/>
      <c r="N23" s="29"/>
    </row>
    <row r="24" spans="2:14" ht="14" hidden="1">
      <c r="B24" s="35" t="s">
        <v>82</v>
      </c>
      <c r="C24" s="33">
        <v>20938</v>
      </c>
      <c r="D24" s="33">
        <f t="shared" si="0"/>
        <v>21608.904480389971</v>
      </c>
      <c r="E24" s="33">
        <f t="shared" si="1"/>
        <v>22301.306373226558</v>
      </c>
      <c r="F24" s="33">
        <f t="shared" si="2"/>
        <v>23015.894507926485</v>
      </c>
      <c r="G24" s="33">
        <f t="shared" si="3"/>
        <v>23753.379785677498</v>
      </c>
      <c r="H24" s="33">
        <f t="shared" si="4"/>
        <v>24514.495886671652</v>
      </c>
      <c r="I24" s="261">
        <v>25300</v>
      </c>
      <c r="J24" s="265">
        <f t="shared" si="5"/>
        <v>6.3278939197481954E-3</v>
      </c>
      <c r="L24" s="1"/>
      <c r="M24" s="1"/>
      <c r="N24" s="29"/>
    </row>
    <row r="25" spans="2:14" ht="14" hidden="1">
      <c r="B25" s="35" t="s">
        <v>90</v>
      </c>
      <c r="C25" s="33">
        <v>1977</v>
      </c>
      <c r="D25" s="33">
        <f t="shared" si="0"/>
        <v>2001.7146069841735</v>
      </c>
      <c r="E25" s="33">
        <f t="shared" si="1"/>
        <v>2026.7381728951966</v>
      </c>
      <c r="F25" s="33">
        <f t="shared" si="2"/>
        <v>2052.0745600489281</v>
      </c>
      <c r="G25" s="33">
        <f t="shared" si="3"/>
        <v>2077.7276790442893</v>
      </c>
      <c r="H25" s="33">
        <f t="shared" si="4"/>
        <v>2103.7014893668584</v>
      </c>
      <c r="I25" s="261">
        <v>2130</v>
      </c>
      <c r="J25" s="265">
        <f t="shared" si="5"/>
        <v>2.4878039791591533E-3</v>
      </c>
      <c r="L25" s="1"/>
      <c r="M25" s="1"/>
      <c r="N25" s="29"/>
    </row>
    <row r="26" spans="2:14" ht="14" hidden="1">
      <c r="B26" s="35" t="s">
        <v>93</v>
      </c>
      <c r="C26" s="33">
        <v>21066</v>
      </c>
      <c r="D26" s="33">
        <f t="shared" si="0"/>
        <v>21337.75053482148</v>
      </c>
      <c r="E26" s="33">
        <f t="shared" si="1"/>
        <v>21613.006640381391</v>
      </c>
      <c r="F26" s="33">
        <f t="shared" si="2"/>
        <v>21891.813538398284</v>
      </c>
      <c r="G26" s="33">
        <f t="shared" si="3"/>
        <v>22174.217033949026</v>
      </c>
      <c r="H26" s="33">
        <f t="shared" si="4"/>
        <v>22460.263522994079</v>
      </c>
      <c r="I26" s="261">
        <v>22750</v>
      </c>
      <c r="J26" s="265">
        <f t="shared" si="5"/>
        <v>2.5667811894558579E-3</v>
      </c>
      <c r="L26" s="1"/>
      <c r="M26" s="1"/>
      <c r="N26" s="29"/>
    </row>
    <row r="27" spans="2:14" ht="14.5" hidden="1" thickBot="1">
      <c r="B27" s="32" t="s">
        <v>0</v>
      </c>
      <c r="C27" s="34">
        <v>257837</v>
      </c>
      <c r="D27" s="34">
        <f t="shared" si="0"/>
        <v>267008.78640093759</v>
      </c>
      <c r="E27" s="34">
        <f t="shared" si="1"/>
        <v>276506.8318949627</v>
      </c>
      <c r="F27" s="34">
        <f t="shared" si="2"/>
        <v>286342.74218146363</v>
      </c>
      <c r="G27" s="34">
        <f t="shared" si="3"/>
        <v>296528.53579815605</v>
      </c>
      <c r="H27" s="34">
        <f t="shared" si="4"/>
        <v>307076.65880658169</v>
      </c>
      <c r="I27" s="262">
        <v>318000</v>
      </c>
      <c r="J27" s="266">
        <f t="shared" si="5"/>
        <v>7.0152853143097271E-3</v>
      </c>
      <c r="L27" s="1"/>
      <c r="M27" s="1"/>
      <c r="N27" s="29"/>
    </row>
    <row r="28" spans="2:14" ht="14.5" hidden="1" thickBot="1">
      <c r="B28" s="1266" t="s">
        <v>54</v>
      </c>
      <c r="C28" s="1267"/>
      <c r="D28" s="1267"/>
      <c r="E28" s="1267"/>
      <c r="F28" s="1267"/>
      <c r="G28" s="1267"/>
      <c r="H28" s="1268"/>
      <c r="I28" s="51" t="s">
        <v>286</v>
      </c>
      <c r="J28" s="2"/>
      <c r="L28" s="1"/>
      <c r="M28" s="1"/>
      <c r="N28" s="30"/>
    </row>
    <row r="29" spans="2:14" ht="13.5" customHeight="1">
      <c r="B29" s="29"/>
      <c r="C29" s="29"/>
      <c r="D29" s="29"/>
      <c r="E29" s="2"/>
      <c r="F29" s="2"/>
      <c r="G29" s="2"/>
      <c r="H29" s="2"/>
      <c r="I29" s="2"/>
      <c r="J29" s="2"/>
      <c r="L29" s="1"/>
      <c r="M29" s="1"/>
      <c r="N29" s="30"/>
    </row>
    <row r="30" spans="2:14" ht="13.5" customHeight="1" thickBot="1">
      <c r="B30" s="29"/>
      <c r="C30" s="29"/>
      <c r="D30" s="29"/>
      <c r="E30" s="2"/>
      <c r="F30" s="2"/>
      <c r="G30" s="2"/>
      <c r="H30" s="2"/>
      <c r="I30" s="2"/>
      <c r="J30" s="2"/>
      <c r="L30" s="1"/>
      <c r="M30" s="1"/>
      <c r="N30" s="30"/>
    </row>
    <row r="31" spans="2:14" ht="14.5" thickBot="1">
      <c r="B31" s="1279" t="s">
        <v>56</v>
      </c>
      <c r="C31" s="1214"/>
      <c r="D31" s="1214"/>
      <c r="E31" s="1214"/>
      <c r="F31" s="1214"/>
      <c r="G31" s="1214"/>
      <c r="H31" s="1214"/>
      <c r="I31" s="1214"/>
      <c r="J31" s="1208"/>
      <c r="K31" s="1"/>
      <c r="L31" s="1"/>
      <c r="M31" s="1"/>
      <c r="N31" s="27"/>
    </row>
    <row r="32" spans="2:14" ht="28">
      <c r="B32" s="146" t="s">
        <v>36</v>
      </c>
      <c r="C32" s="147">
        <v>2010</v>
      </c>
      <c r="D32" s="147">
        <v>2015</v>
      </c>
      <c r="E32" s="147">
        <v>2020</v>
      </c>
      <c r="F32" s="147">
        <v>2025</v>
      </c>
      <c r="G32" s="147">
        <v>2030</v>
      </c>
      <c r="H32" s="147">
        <v>2035</v>
      </c>
      <c r="I32" s="260">
        <v>2040</v>
      </c>
      <c r="J32" s="263" t="s">
        <v>288</v>
      </c>
      <c r="K32" s="1"/>
      <c r="L32" s="1"/>
      <c r="M32" s="29"/>
    </row>
    <row r="33" spans="2:13" ht="14" hidden="1">
      <c r="B33" s="35" t="s">
        <v>92</v>
      </c>
      <c r="C33" s="33">
        <v>2140</v>
      </c>
      <c r="D33" s="33">
        <f t="shared" ref="D33:D54" si="6">$C33*(1+$J33)^5</f>
        <v>2144.9710421382306</v>
      </c>
      <c r="E33" s="33">
        <f t="shared" ref="E33:E54" si="7">$C33*(1+$J33)^10</f>
        <v>2149.9536315941896</v>
      </c>
      <c r="F33" s="33">
        <f t="shared" ref="F33:F54" si="8">$C33*(1+$J33)^15</f>
        <v>2154.9477951913373</v>
      </c>
      <c r="G33" s="33">
        <f t="shared" ref="G33:G54" si="9">$C33*(1+$J33)^20</f>
        <v>2159.9535598154407</v>
      </c>
      <c r="H33" s="33">
        <f t="shared" ref="H33:H54" si="10">$C33*(1+$J33)^25</f>
        <v>2164.9709524147229</v>
      </c>
      <c r="I33" s="261">
        <v>2170</v>
      </c>
      <c r="J33" s="264">
        <f>(I33/C33)^(1/30)-1</f>
        <v>4.6415230264673646E-4</v>
      </c>
      <c r="K33" s="1"/>
      <c r="L33" s="1"/>
      <c r="M33" s="29"/>
    </row>
    <row r="34" spans="2:13" ht="14" hidden="1">
      <c r="B34" s="35" t="s">
        <v>80</v>
      </c>
      <c r="C34" s="33">
        <v>7920</v>
      </c>
      <c r="D34" s="33">
        <f t="shared" si="6"/>
        <v>8156.6085341996941</v>
      </c>
      <c r="E34" s="33">
        <f t="shared" si="7"/>
        <v>8400.2857045680939</v>
      </c>
      <c r="F34" s="33">
        <f t="shared" si="8"/>
        <v>8651.2426853025008</v>
      </c>
      <c r="G34" s="33">
        <f t="shared" si="9"/>
        <v>8909.6969593902868</v>
      </c>
      <c r="H34" s="33">
        <f t="shared" si="10"/>
        <v>9175.872507082815</v>
      </c>
      <c r="I34" s="261">
        <v>9450</v>
      </c>
      <c r="J34" s="264">
        <f t="shared" ref="J34:J53" si="11">(I34/C34)^(1/30)-1</f>
        <v>5.9048162920691816E-3</v>
      </c>
      <c r="K34" s="1"/>
      <c r="L34" s="1"/>
      <c r="M34" s="29"/>
    </row>
    <row r="35" spans="2:13" ht="14" hidden="1">
      <c r="B35" s="35" t="s">
        <v>78</v>
      </c>
      <c r="C35" s="33">
        <v>5220</v>
      </c>
      <c r="D35" s="33">
        <f t="shared" si="6"/>
        <v>6349.0176822773219</v>
      </c>
      <c r="E35" s="33">
        <f t="shared" si="7"/>
        <v>7722.2271130019344</v>
      </c>
      <c r="F35" s="33">
        <f t="shared" si="8"/>
        <v>9392.4437714579763</v>
      </c>
      <c r="G35" s="33">
        <f t="shared" si="9"/>
        <v>11423.906433866317</v>
      </c>
      <c r="H35" s="33">
        <f t="shared" si="10"/>
        <v>13894.747883007454</v>
      </c>
      <c r="I35" s="261">
        <v>16900</v>
      </c>
      <c r="J35" s="264">
        <f t="shared" si="11"/>
        <v>3.9937422497856812E-2</v>
      </c>
      <c r="K35" s="1"/>
      <c r="L35" s="1"/>
      <c r="M35" s="29"/>
    </row>
    <row r="36" spans="2:13" ht="14" hidden="1">
      <c r="B36" s="35" t="s">
        <v>89</v>
      </c>
      <c r="C36" s="33">
        <v>28020</v>
      </c>
      <c r="D36" s="33">
        <f t="shared" si="6"/>
        <v>30046.349106393151</v>
      </c>
      <c r="E36" s="33">
        <f t="shared" si="7"/>
        <v>32219.239636804152</v>
      </c>
      <c r="F36" s="33">
        <f t="shared" si="8"/>
        <v>34549.269167378916</v>
      </c>
      <c r="G36" s="33">
        <f t="shared" si="9"/>
        <v>37047.801669300912</v>
      </c>
      <c r="H36" s="33">
        <f t="shared" si="10"/>
        <v>39727.022932913285</v>
      </c>
      <c r="I36" s="261">
        <v>42600</v>
      </c>
      <c r="J36" s="264">
        <f t="shared" si="11"/>
        <v>1.4062483161671135E-2</v>
      </c>
      <c r="K36" s="1"/>
      <c r="L36" s="1"/>
      <c r="M36" s="29"/>
    </row>
    <row r="37" spans="2:13" ht="14" hidden="1">
      <c r="B37" s="35" t="s">
        <v>83</v>
      </c>
      <c r="C37" s="33">
        <v>3930</v>
      </c>
      <c r="D37" s="33">
        <f t="shared" si="6"/>
        <v>3992.4646831797186</v>
      </c>
      <c r="E37" s="33">
        <f t="shared" si="7"/>
        <v>4055.9222001112812</v>
      </c>
      <c r="F37" s="33">
        <f t="shared" si="8"/>
        <v>4120.3883312134531</v>
      </c>
      <c r="G37" s="33">
        <f t="shared" si="9"/>
        <v>4185.8791077240539</v>
      </c>
      <c r="H37" s="33">
        <f t="shared" si="10"/>
        <v>4252.4108156865441</v>
      </c>
      <c r="I37" s="261">
        <v>4320</v>
      </c>
      <c r="J37" s="264">
        <f>(I37/C37)^(1/30)-1</f>
        <v>3.1588445467942705E-3</v>
      </c>
      <c r="K37" s="1"/>
      <c r="L37" s="1"/>
      <c r="M37" s="29"/>
    </row>
    <row r="38" spans="2:13" ht="14" hidden="1">
      <c r="B38" s="35" t="s">
        <v>81</v>
      </c>
      <c r="C38" s="33">
        <v>18430</v>
      </c>
      <c r="D38" s="33">
        <f t="shared" si="6"/>
        <v>19053.211967980398</v>
      </c>
      <c r="E38" s="33">
        <f t="shared" si="7"/>
        <v>19697.497899988684</v>
      </c>
      <c r="F38" s="33">
        <f t="shared" si="8"/>
        <v>20363.570413854217</v>
      </c>
      <c r="G38" s="33">
        <f t="shared" si="9"/>
        <v>21052.166224636934</v>
      </c>
      <c r="H38" s="33">
        <f t="shared" si="10"/>
        <v>21764.046959477215</v>
      </c>
      <c r="I38" s="261">
        <v>22500</v>
      </c>
      <c r="J38" s="264">
        <f t="shared" si="11"/>
        <v>6.6733528335944925E-3</v>
      </c>
      <c r="K38" s="1"/>
      <c r="L38" s="1"/>
      <c r="M38" s="29"/>
    </row>
    <row r="39" spans="2:13" ht="14" hidden="1">
      <c r="B39" s="35" t="s">
        <v>72</v>
      </c>
      <c r="C39" s="33">
        <v>5130</v>
      </c>
      <c r="D39" s="33">
        <f t="shared" si="6"/>
        <v>5356.7504135312656</v>
      </c>
      <c r="E39" s="33">
        <f t="shared" si="7"/>
        <v>5593.5233904224915</v>
      </c>
      <c r="F39" s="33">
        <f t="shared" si="8"/>
        <v>5840.7619365969776</v>
      </c>
      <c r="G39" s="33">
        <f t="shared" si="9"/>
        <v>6098.9286392209606</v>
      </c>
      <c r="H39" s="33">
        <f t="shared" si="10"/>
        <v>6368.5065322114133</v>
      </c>
      <c r="I39" s="261">
        <v>6650</v>
      </c>
      <c r="J39" s="264">
        <f t="shared" si="11"/>
        <v>8.6878957777147825E-3</v>
      </c>
      <c r="K39" s="1"/>
      <c r="L39" s="1"/>
      <c r="M39" s="29"/>
    </row>
    <row r="40" spans="2:13" ht="14" hidden="1">
      <c r="B40" s="35" t="s">
        <v>87</v>
      </c>
      <c r="C40" s="33">
        <v>15800</v>
      </c>
      <c r="D40" s="33">
        <f t="shared" si="6"/>
        <v>17297.196659635752</v>
      </c>
      <c r="E40" s="33">
        <f t="shared" si="7"/>
        <v>18936.266600133808</v>
      </c>
      <c r="F40" s="33">
        <f t="shared" si="8"/>
        <v>20730.653631759906</v>
      </c>
      <c r="G40" s="33">
        <f t="shared" si="9"/>
        <v>22695.075490591349</v>
      </c>
      <c r="H40" s="33">
        <f t="shared" si="10"/>
        <v>24845.644554812519</v>
      </c>
      <c r="I40" s="261">
        <v>27200</v>
      </c>
      <c r="J40" s="264">
        <f t="shared" si="11"/>
        <v>1.8271824958992378E-2</v>
      </c>
      <c r="K40" s="1"/>
      <c r="L40" s="1"/>
      <c r="M40" s="29"/>
    </row>
    <row r="41" spans="2:13" ht="14" hidden="1">
      <c r="B41" s="35" t="s">
        <v>84</v>
      </c>
      <c r="C41" s="33">
        <v>4920</v>
      </c>
      <c r="D41" s="33">
        <f t="shared" si="6"/>
        <v>4993.8400909757374</v>
      </c>
      <c r="E41" s="33">
        <f t="shared" si="7"/>
        <v>5068.7883850074313</v>
      </c>
      <c r="F41" s="33">
        <f t="shared" si="8"/>
        <v>5144.8615141711944</v>
      </c>
      <c r="G41" s="33">
        <f t="shared" si="9"/>
        <v>5222.0763601598055</v>
      </c>
      <c r="H41" s="33">
        <f t="shared" si="10"/>
        <v>5300.4500580290023</v>
      </c>
      <c r="I41" s="261">
        <v>5380</v>
      </c>
      <c r="J41" s="264">
        <f t="shared" si="11"/>
        <v>2.9837707312470041E-3</v>
      </c>
      <c r="K41" s="1"/>
      <c r="L41" s="1"/>
      <c r="M41" s="29"/>
    </row>
    <row r="42" spans="2:13" ht="14" hidden="1">
      <c r="B42" s="35" t="s">
        <v>79</v>
      </c>
      <c r="C42" s="33">
        <v>2120</v>
      </c>
      <c r="D42" s="33">
        <f t="shared" si="6"/>
        <v>2144.2933248597524</v>
      </c>
      <c r="E42" s="33">
        <f t="shared" si="7"/>
        <v>2168.8650297349491</v>
      </c>
      <c r="F42" s="33">
        <f t="shared" si="8"/>
        <v>2193.7183046143391</v>
      </c>
      <c r="G42" s="33">
        <f t="shared" si="9"/>
        <v>2218.8563760411225</v>
      </c>
      <c r="H42" s="33">
        <f t="shared" si="10"/>
        <v>2244.2825075318306</v>
      </c>
      <c r="I42" s="261">
        <v>2270</v>
      </c>
      <c r="J42" s="264">
        <f t="shared" si="11"/>
        <v>2.2813898455400494E-3</v>
      </c>
      <c r="K42" s="1"/>
      <c r="L42" s="1"/>
      <c r="M42" s="29"/>
    </row>
    <row r="43" spans="2:13" ht="14" hidden="1">
      <c r="B43" s="35" t="s">
        <v>91</v>
      </c>
      <c r="C43" s="33">
        <v>34630</v>
      </c>
      <c r="D43" s="33">
        <f t="shared" si="6"/>
        <v>35832.345031405312</v>
      </c>
      <c r="E43" s="33">
        <f t="shared" si="7"/>
        <v>37076.435184801536</v>
      </c>
      <c r="F43" s="33">
        <f t="shared" si="8"/>
        <v>38363.719840495076</v>
      </c>
      <c r="G43" s="33">
        <f t="shared" si="9"/>
        <v>39695.698700917965</v>
      </c>
      <c r="H43" s="33">
        <f t="shared" si="10"/>
        <v>41073.923537799601</v>
      </c>
      <c r="I43" s="261">
        <v>42500</v>
      </c>
      <c r="J43" s="264">
        <f t="shared" si="11"/>
        <v>6.8494750032990215E-3</v>
      </c>
      <c r="K43" s="1"/>
      <c r="L43" s="1"/>
      <c r="M43" s="29"/>
    </row>
    <row r="44" spans="2:13" ht="14" hidden="1">
      <c r="B44" s="35" t="s">
        <v>73</v>
      </c>
      <c r="C44" s="33">
        <v>5920</v>
      </c>
      <c r="D44" s="33">
        <f t="shared" si="6"/>
        <v>6622.3340969822175</v>
      </c>
      <c r="E44" s="33">
        <f t="shared" si="7"/>
        <v>7407.991366900892</v>
      </c>
      <c r="F44" s="33">
        <f t="shared" si="8"/>
        <v>8286.857064050284</v>
      </c>
      <c r="G44" s="33">
        <f t="shared" si="9"/>
        <v>9269.9892047429294</v>
      </c>
      <c r="H44" s="33">
        <f t="shared" si="10"/>
        <v>10369.757700882799</v>
      </c>
      <c r="I44" s="261">
        <v>11600</v>
      </c>
      <c r="J44" s="264">
        <f t="shared" si="11"/>
        <v>2.2675557227618715E-2</v>
      </c>
      <c r="K44" s="1"/>
      <c r="L44" s="1"/>
      <c r="M44" s="29"/>
    </row>
    <row r="45" spans="2:13" ht="14">
      <c r="B45" s="35" t="s">
        <v>88</v>
      </c>
      <c r="C45" s="33">
        <v>5930</v>
      </c>
      <c r="D45" s="33">
        <f t="shared" si="6"/>
        <v>6110.667258609863</v>
      </c>
      <c r="E45" s="33">
        <f t="shared" si="7"/>
        <v>6296.8388440888002</v>
      </c>
      <c r="F45" s="33">
        <f t="shared" si="8"/>
        <v>6488.6824548593922</v>
      </c>
      <c r="G45" s="33">
        <f t="shared" si="9"/>
        <v>6686.3708985540607</v>
      </c>
      <c r="H45" s="33">
        <f>$C45*(1+$J45)^25</f>
        <v>6890.0822476755657</v>
      </c>
      <c r="I45" s="261">
        <v>7100</v>
      </c>
      <c r="J45" s="264">
        <f t="shared" si="11"/>
        <v>6.0204025814045714E-3</v>
      </c>
      <c r="K45" s="1"/>
      <c r="L45" s="1"/>
      <c r="M45" s="29"/>
    </row>
    <row r="46" spans="2:13" ht="14" hidden="1">
      <c r="B46" s="35" t="s">
        <v>86</v>
      </c>
      <c r="C46" s="33">
        <v>1500</v>
      </c>
      <c r="D46" s="33">
        <f t="shared" si="6"/>
        <v>1503.3149642957726</v>
      </c>
      <c r="E46" s="33">
        <f t="shared" si="7"/>
        <v>1506.6372545837332</v>
      </c>
      <c r="F46" s="33">
        <f t="shared" si="8"/>
        <v>1509.96688705415</v>
      </c>
      <c r="G46" s="33">
        <f t="shared" si="9"/>
        <v>1513.3038779330725</v>
      </c>
      <c r="H46" s="33">
        <f t="shared" si="10"/>
        <v>1516.6482434824072</v>
      </c>
      <c r="I46" s="261">
        <v>1520</v>
      </c>
      <c r="J46" s="264">
        <f t="shared" si="11"/>
        <v>4.4160503714141264E-4</v>
      </c>
      <c r="K46" s="1"/>
      <c r="L46" s="1"/>
      <c r="M46" s="29"/>
    </row>
    <row r="47" spans="2:13" ht="14" hidden="1">
      <c r="B47" s="35" t="s">
        <v>77</v>
      </c>
      <c r="C47" s="33">
        <v>59290</v>
      </c>
      <c r="D47" s="33">
        <f t="shared" si="6"/>
        <v>63166.632527794529</v>
      </c>
      <c r="E47" s="33">
        <f t="shared" si="7"/>
        <v>67296.735788521313</v>
      </c>
      <c r="F47" s="33">
        <f t="shared" si="8"/>
        <v>71696.882777426275</v>
      </c>
      <c r="G47" s="33">
        <f t="shared" si="9"/>
        <v>76384.730102716247</v>
      </c>
      <c r="H47" s="33">
        <f t="shared" si="10"/>
        <v>81379.088836785988</v>
      </c>
      <c r="I47" s="261">
        <v>86700</v>
      </c>
      <c r="J47" s="264">
        <f t="shared" si="11"/>
        <v>1.2747675169124673E-2</v>
      </c>
      <c r="K47" s="1"/>
      <c r="L47" s="1"/>
      <c r="M47" s="29"/>
    </row>
    <row r="48" spans="2:13" ht="14" hidden="1">
      <c r="B48" s="35" t="s">
        <v>74</v>
      </c>
      <c r="C48" s="33">
        <v>12890</v>
      </c>
      <c r="D48" s="33">
        <f t="shared" si="6"/>
        <v>13190.291205769747</v>
      </c>
      <c r="E48" s="33">
        <f t="shared" si="7"/>
        <v>13497.578129791053</v>
      </c>
      <c r="F48" s="33">
        <f t="shared" si="8"/>
        <v>13812.023747445539</v>
      </c>
      <c r="G48" s="33">
        <f t="shared" si="9"/>
        <v>14133.794830862198</v>
      </c>
      <c r="H48" s="33">
        <f t="shared" si="10"/>
        <v>14463.062037368158</v>
      </c>
      <c r="I48" s="261">
        <v>14800</v>
      </c>
      <c r="J48" s="264">
        <f t="shared" si="11"/>
        <v>4.6164686701946067E-3</v>
      </c>
      <c r="K48" s="1"/>
      <c r="L48" s="1"/>
      <c r="M48" s="29"/>
    </row>
    <row r="49" spans="2:14" ht="14" hidden="1">
      <c r="B49" s="35" t="s">
        <v>85</v>
      </c>
      <c r="C49" s="33">
        <v>16300</v>
      </c>
      <c r="D49" s="33">
        <f t="shared" si="6"/>
        <v>16743.688407742087</v>
      </c>
      <c r="E49" s="33">
        <f t="shared" si="7"/>
        <v>17199.454079482006</v>
      </c>
      <c r="F49" s="33">
        <f t="shared" si="8"/>
        <v>17667.625760129766</v>
      </c>
      <c r="G49" s="33">
        <f t="shared" si="9"/>
        <v>18148.54114308038</v>
      </c>
      <c r="H49" s="33">
        <f t="shared" si="10"/>
        <v>18642.54711379296</v>
      </c>
      <c r="I49" s="261">
        <v>19150</v>
      </c>
      <c r="J49" s="265">
        <f t="shared" si="11"/>
        <v>5.3857046382053131E-3</v>
      </c>
      <c r="K49" s="1"/>
      <c r="L49" s="1"/>
      <c r="M49" s="29"/>
    </row>
    <row r="50" spans="2:14" ht="14" hidden="1">
      <c r="B50" s="35" t="s">
        <v>76</v>
      </c>
      <c r="C50" s="33">
        <v>50970</v>
      </c>
      <c r="D50" s="33">
        <f t="shared" si="6"/>
        <v>53478.639071944061</v>
      </c>
      <c r="E50" s="33">
        <f t="shared" si="7"/>
        <v>56110.74822419585</v>
      </c>
      <c r="F50" s="33">
        <f t="shared" si="8"/>
        <v>58872.404401383086</v>
      </c>
      <c r="G50" s="33">
        <f t="shared" si="9"/>
        <v>61769.983642909501</v>
      </c>
      <c r="H50" s="33">
        <f t="shared" si="10"/>
        <v>64810.175803787446</v>
      </c>
      <c r="I50" s="261">
        <v>68000</v>
      </c>
      <c r="J50" s="265">
        <f t="shared" si="11"/>
        <v>9.6553308497382417E-3</v>
      </c>
      <c r="K50" s="1"/>
      <c r="L50" s="1"/>
      <c r="M50" s="29"/>
    </row>
    <row r="51" spans="2:14" ht="14" hidden="1">
      <c r="B51" s="35" t="s">
        <v>82</v>
      </c>
      <c r="C51" s="33">
        <v>38720</v>
      </c>
      <c r="D51" s="33">
        <f t="shared" si="6"/>
        <v>40952.398093295051</v>
      </c>
      <c r="E51" s="33">
        <f t="shared" si="7"/>
        <v>43313.50489648027</v>
      </c>
      <c r="F51" s="33">
        <f t="shared" si="8"/>
        <v>45810.741098567763</v>
      </c>
      <c r="G51" s="33">
        <f t="shared" si="9"/>
        <v>48451.955227722632</v>
      </c>
      <c r="H51" s="33">
        <f t="shared" si="10"/>
        <v>51245.448318290415</v>
      </c>
      <c r="I51" s="261">
        <v>54200</v>
      </c>
      <c r="J51" s="265">
        <f>(I51/C51)^(1/30)-1</f>
        <v>1.1273898288012729E-2</v>
      </c>
      <c r="K51" s="1"/>
      <c r="L51" s="1"/>
      <c r="M51" s="29"/>
    </row>
    <row r="52" spans="2:14" ht="14" hidden="1">
      <c r="B52" s="35" t="s">
        <v>90</v>
      </c>
      <c r="C52" s="33">
        <v>1970</v>
      </c>
      <c r="D52" s="33">
        <f t="shared" si="6"/>
        <v>1974.9685662129939</v>
      </c>
      <c r="E52" s="33">
        <f t="shared" si="7"/>
        <v>1979.9496637205125</v>
      </c>
      <c r="F52" s="33">
        <f t="shared" si="8"/>
        <v>1984.9433241279189</v>
      </c>
      <c r="G52" s="33">
        <f t="shared" si="9"/>
        <v>1989.9495791202896</v>
      </c>
      <c r="H52" s="33">
        <f t="shared" si="10"/>
        <v>1994.9684604626141</v>
      </c>
      <c r="I52" s="261">
        <v>2000</v>
      </c>
      <c r="J52" s="265">
        <f t="shared" si="11"/>
        <v>5.03914849452336E-4</v>
      </c>
      <c r="K52" s="1"/>
      <c r="L52" s="1"/>
      <c r="M52" s="29"/>
    </row>
    <row r="53" spans="2:14" ht="14" hidden="1">
      <c r="B53" s="35" t="s">
        <v>93</v>
      </c>
      <c r="C53" s="33">
        <v>21610</v>
      </c>
      <c r="D53" s="33">
        <f t="shared" si="6"/>
        <v>22148.633022364989</v>
      </c>
      <c r="E53" s="33">
        <f t="shared" si="7"/>
        <v>22700.691566839276</v>
      </c>
      <c r="F53" s="33">
        <f t="shared" si="8"/>
        <v>23266.510266905083</v>
      </c>
      <c r="G53" s="33">
        <f t="shared" si="9"/>
        <v>23846.432096842567</v>
      </c>
      <c r="H53" s="33">
        <f t="shared" si="10"/>
        <v>24440.808579625711</v>
      </c>
      <c r="I53" s="261">
        <v>25050</v>
      </c>
      <c r="J53" s="265">
        <f t="shared" si="11"/>
        <v>4.9360643251132874E-3</v>
      </c>
      <c r="K53" s="1"/>
      <c r="L53" s="1"/>
      <c r="M53" s="29"/>
    </row>
    <row r="54" spans="2:14" ht="14.5" hidden="1" thickBot="1">
      <c r="B54" s="32" t="s">
        <v>0</v>
      </c>
      <c r="C54" s="34">
        <v>343330</v>
      </c>
      <c r="D54" s="33">
        <f t="shared" si="6"/>
        <v>362034.64104421251</v>
      </c>
      <c r="E54" s="33">
        <f t="shared" si="7"/>
        <v>381758.31216617191</v>
      </c>
      <c r="F54" s="33">
        <f t="shared" si="8"/>
        <v>402556.53019172355</v>
      </c>
      <c r="G54" s="33">
        <f t="shared" si="9"/>
        <v>424487.83650704671</v>
      </c>
      <c r="H54" s="33">
        <f t="shared" si="10"/>
        <v>447613.96183690033</v>
      </c>
      <c r="I54" s="262">
        <v>472000</v>
      </c>
      <c r="J54" s="266">
        <f>(I54/C54)^(1/30)-1</f>
        <v>1.0666044381014705E-2</v>
      </c>
      <c r="K54" s="1"/>
      <c r="L54" s="1"/>
      <c r="M54" s="29"/>
    </row>
    <row r="55" spans="2:14" ht="49.5" customHeight="1" thickBot="1">
      <c r="B55" s="1273" t="s">
        <v>54</v>
      </c>
      <c r="C55" s="1274"/>
      <c r="D55" s="1274"/>
      <c r="E55" s="1274"/>
      <c r="F55" s="1274"/>
      <c r="G55" s="1274"/>
      <c r="H55" s="1275"/>
      <c r="I55" s="455" t="s">
        <v>286</v>
      </c>
      <c r="J55" s="2"/>
      <c r="L55" s="1"/>
      <c r="M55" s="1"/>
      <c r="N55" s="31"/>
    </row>
    <row r="56" spans="2:14" ht="13" thickBot="1"/>
    <row r="57" spans="2:14" ht="18.5" thickBot="1">
      <c r="B57" s="1260" t="s">
        <v>410</v>
      </c>
      <c r="C57" s="1261"/>
      <c r="D57" s="1261"/>
      <c r="E57" s="1261"/>
      <c r="F57" s="1261"/>
      <c r="G57" s="1261"/>
      <c r="H57" s="1261"/>
      <c r="I57" s="1261"/>
      <c r="J57" s="1261"/>
      <c r="K57" s="1262"/>
    </row>
    <row r="58" spans="2:14" ht="14">
      <c r="B58" s="597" t="s">
        <v>36</v>
      </c>
      <c r="C58" s="593">
        <v>2010</v>
      </c>
      <c r="D58" s="593">
        <v>2015</v>
      </c>
      <c r="E58" s="593">
        <v>2020</v>
      </c>
      <c r="F58" s="593">
        <v>2025</v>
      </c>
      <c r="G58" s="593">
        <v>2030</v>
      </c>
      <c r="H58" s="593">
        <v>2035</v>
      </c>
      <c r="I58" s="594">
        <v>2040</v>
      </c>
      <c r="J58" s="698">
        <v>2045</v>
      </c>
      <c r="K58" s="683">
        <v>2050</v>
      </c>
    </row>
    <row r="59" spans="2:14" ht="14">
      <c r="B59" s="684" t="s">
        <v>92</v>
      </c>
      <c r="C59" s="685">
        <v>2330</v>
      </c>
      <c r="D59" s="685">
        <v>2370</v>
      </c>
      <c r="E59" s="685">
        <v>2420</v>
      </c>
      <c r="F59" s="685">
        <v>2460</v>
      </c>
      <c r="G59" s="685">
        <v>2500</v>
      </c>
      <c r="H59" s="685">
        <v>2540</v>
      </c>
      <c r="I59" s="261">
        <v>2580</v>
      </c>
      <c r="J59" s="703">
        <f>I59*(1+$E$143)</f>
        <v>2649.6510872514682</v>
      </c>
      <c r="K59" s="699">
        <f>J59*(1+$F$143)</f>
        <v>2718.832317174079</v>
      </c>
    </row>
    <row r="60" spans="2:14" ht="14">
      <c r="B60" s="684" t="s">
        <v>80</v>
      </c>
      <c r="C60" s="685">
        <v>10575</v>
      </c>
      <c r="D60" s="685">
        <v>10770</v>
      </c>
      <c r="E60" s="685">
        <v>11020</v>
      </c>
      <c r="F60" s="685">
        <v>11260</v>
      </c>
      <c r="G60" s="685">
        <v>11430</v>
      </c>
      <c r="H60" s="685">
        <v>11580</v>
      </c>
      <c r="I60" s="261">
        <v>11790</v>
      </c>
      <c r="J60" s="703">
        <f t="shared" ref="J60:J80" si="12">I60*(1+$E$143)</f>
        <v>12108.289270811942</v>
      </c>
      <c r="K60" s="699">
        <f t="shared" ref="K60:K80" si="13">J60*(1+$F$143)</f>
        <v>12424.431402900153</v>
      </c>
    </row>
    <row r="61" spans="2:14" ht="14">
      <c r="B61" s="684" t="s">
        <v>78</v>
      </c>
      <c r="C61" s="685">
        <v>1821</v>
      </c>
      <c r="D61" s="685">
        <v>1860</v>
      </c>
      <c r="E61" s="685">
        <v>1910</v>
      </c>
      <c r="F61" s="685">
        <v>1950</v>
      </c>
      <c r="G61" s="685">
        <v>2000</v>
      </c>
      <c r="H61" s="685">
        <v>2040</v>
      </c>
      <c r="I61" s="261">
        <v>2090</v>
      </c>
      <c r="J61" s="703">
        <f t="shared" si="12"/>
        <v>2146.4227799827786</v>
      </c>
      <c r="K61" s="699">
        <f t="shared" si="13"/>
        <v>2202.4649391061339</v>
      </c>
    </row>
    <row r="62" spans="2:14" ht="14">
      <c r="B62" s="684" t="s">
        <v>89</v>
      </c>
      <c r="C62" s="685">
        <v>12361</v>
      </c>
      <c r="D62" s="685">
        <v>12980</v>
      </c>
      <c r="E62" s="685">
        <v>13620</v>
      </c>
      <c r="F62" s="685">
        <v>14230</v>
      </c>
      <c r="G62" s="685">
        <v>14890</v>
      </c>
      <c r="H62" s="685">
        <v>15520</v>
      </c>
      <c r="I62" s="261">
        <v>16170</v>
      </c>
      <c r="J62" s="703">
        <f t="shared" si="12"/>
        <v>16606.534139866759</v>
      </c>
      <c r="K62" s="699">
        <f t="shared" si="13"/>
        <v>17040.123476242192</v>
      </c>
    </row>
    <row r="63" spans="2:14" ht="14">
      <c r="B63" s="684" t="s">
        <v>83</v>
      </c>
      <c r="C63" s="685">
        <v>412</v>
      </c>
      <c r="D63" s="685">
        <v>450</v>
      </c>
      <c r="E63" s="685">
        <v>490</v>
      </c>
      <c r="F63" s="685">
        <v>530</v>
      </c>
      <c r="G63" s="685">
        <v>580</v>
      </c>
      <c r="H63" s="685">
        <v>620</v>
      </c>
      <c r="I63" s="261">
        <v>660</v>
      </c>
      <c r="J63" s="703">
        <f t="shared" si="12"/>
        <v>677.81771999456157</v>
      </c>
      <c r="K63" s="699">
        <f t="shared" si="13"/>
        <v>695.51524392825274</v>
      </c>
    </row>
    <row r="64" spans="2:14" ht="14">
      <c r="B64" s="684" t="s">
        <v>81</v>
      </c>
      <c r="C64" s="685">
        <v>31090</v>
      </c>
      <c r="D64" s="685">
        <v>31860</v>
      </c>
      <c r="E64" s="685">
        <v>32650</v>
      </c>
      <c r="F64" s="685">
        <v>33410</v>
      </c>
      <c r="G64" s="685">
        <v>34210</v>
      </c>
      <c r="H64" s="685">
        <v>34980</v>
      </c>
      <c r="I64" s="261">
        <v>35770</v>
      </c>
      <c r="J64" s="703">
        <f t="shared" si="12"/>
        <v>36735.66643061435</v>
      </c>
      <c r="K64" s="699">
        <f t="shared" si="13"/>
        <v>37694.81859896001</v>
      </c>
    </row>
    <row r="65" spans="2:11" ht="14">
      <c r="B65" s="684" t="s">
        <v>72</v>
      </c>
      <c r="C65" s="685">
        <v>6940</v>
      </c>
      <c r="D65" s="685">
        <v>7170</v>
      </c>
      <c r="E65" s="685">
        <v>7500</v>
      </c>
      <c r="F65" s="685">
        <v>7810</v>
      </c>
      <c r="G65" s="685">
        <v>7960</v>
      </c>
      <c r="H65" s="685">
        <v>8100</v>
      </c>
      <c r="I65" s="261">
        <v>8340</v>
      </c>
      <c r="J65" s="703">
        <f t="shared" si="12"/>
        <v>8565.1511890221882</v>
      </c>
      <c r="K65" s="699">
        <f t="shared" si="13"/>
        <v>8788.7835369115583</v>
      </c>
    </row>
    <row r="66" spans="2:11" ht="14">
      <c r="B66" s="684" t="s">
        <v>87</v>
      </c>
      <c r="C66" s="685">
        <v>12016</v>
      </c>
      <c r="D66" s="685">
        <v>12170</v>
      </c>
      <c r="E66" s="685">
        <v>12380</v>
      </c>
      <c r="F66" s="685">
        <v>12590</v>
      </c>
      <c r="G66" s="685">
        <v>12690</v>
      </c>
      <c r="H66" s="685">
        <v>12790</v>
      </c>
      <c r="I66" s="261">
        <v>12950</v>
      </c>
      <c r="J66" s="703">
        <f t="shared" si="12"/>
        <v>13299.605263529656</v>
      </c>
      <c r="K66" s="699">
        <f t="shared" si="13"/>
        <v>13646.85213465284</v>
      </c>
    </row>
    <row r="67" spans="2:11" ht="14">
      <c r="B67" s="684" t="s">
        <v>84</v>
      </c>
      <c r="C67" s="685">
        <v>4149</v>
      </c>
      <c r="D67" s="685">
        <v>4150</v>
      </c>
      <c r="E67" s="685">
        <v>4270</v>
      </c>
      <c r="F67" s="685">
        <v>4390</v>
      </c>
      <c r="G67" s="685">
        <v>4400</v>
      </c>
      <c r="H67" s="685">
        <v>4410</v>
      </c>
      <c r="I67" s="261">
        <v>4410</v>
      </c>
      <c r="J67" s="703">
        <f t="shared" si="12"/>
        <v>4529.0547654182074</v>
      </c>
      <c r="K67" s="699">
        <f t="shared" si="13"/>
        <v>4647.3064026115071</v>
      </c>
    </row>
    <row r="68" spans="2:11" ht="14">
      <c r="B68" s="684" t="s">
        <v>79</v>
      </c>
      <c r="C68" s="685">
        <v>3693</v>
      </c>
      <c r="D68" s="685">
        <v>3750</v>
      </c>
      <c r="E68" s="685">
        <v>3800</v>
      </c>
      <c r="F68" s="685">
        <v>3850</v>
      </c>
      <c r="G68" s="685">
        <v>3900</v>
      </c>
      <c r="H68" s="685">
        <v>3960</v>
      </c>
      <c r="I68" s="261">
        <v>4010</v>
      </c>
      <c r="J68" s="703">
        <f t="shared" si="12"/>
        <v>4118.2561472396847</v>
      </c>
      <c r="K68" s="699">
        <f t="shared" si="13"/>
        <v>4225.7820123519596</v>
      </c>
    </row>
    <row r="69" spans="2:11" ht="14">
      <c r="B69" s="684" t="s">
        <v>91</v>
      </c>
      <c r="C69" s="685">
        <v>12347</v>
      </c>
      <c r="D69" s="685">
        <v>12700</v>
      </c>
      <c r="E69" s="685">
        <v>13070</v>
      </c>
      <c r="F69" s="685">
        <v>13420</v>
      </c>
      <c r="G69" s="685">
        <v>13790</v>
      </c>
      <c r="H69" s="685">
        <v>14150</v>
      </c>
      <c r="I69" s="261">
        <v>14520</v>
      </c>
      <c r="J69" s="703">
        <f t="shared" si="12"/>
        <v>14911.989839880356</v>
      </c>
      <c r="K69" s="699">
        <f t="shared" si="13"/>
        <v>15301.335366421563</v>
      </c>
    </row>
    <row r="70" spans="2:11" ht="14">
      <c r="B70" s="684" t="s">
        <v>73</v>
      </c>
      <c r="C70" s="685">
        <v>7994</v>
      </c>
      <c r="D70" s="685">
        <v>8500</v>
      </c>
      <c r="E70" s="685">
        <v>9010</v>
      </c>
      <c r="F70" s="685">
        <v>9490</v>
      </c>
      <c r="G70" s="685">
        <v>10020</v>
      </c>
      <c r="H70" s="685">
        <v>10530</v>
      </c>
      <c r="I70" s="261">
        <v>11050</v>
      </c>
      <c r="J70" s="703">
        <f t="shared" si="12"/>
        <v>11348.311827181675</v>
      </c>
      <c r="K70" s="699">
        <f t="shared" si="13"/>
        <v>11644.611280919989</v>
      </c>
    </row>
    <row r="71" spans="2:11" ht="14">
      <c r="B71" s="684" t="s">
        <v>88</v>
      </c>
      <c r="C71" s="685">
        <v>13967</v>
      </c>
      <c r="D71" s="685">
        <v>14080</v>
      </c>
      <c r="E71" s="685">
        <v>14280</v>
      </c>
      <c r="F71" s="685">
        <v>14490</v>
      </c>
      <c r="G71" s="685">
        <v>14510</v>
      </c>
      <c r="H71" s="685">
        <v>14530</v>
      </c>
      <c r="I71" s="261">
        <v>14650</v>
      </c>
      <c r="J71" s="703">
        <f t="shared" si="12"/>
        <v>15045.499390788375</v>
      </c>
      <c r="K71" s="699">
        <f t="shared" si="13"/>
        <v>15438.330793255913</v>
      </c>
    </row>
    <row r="72" spans="2:11" ht="14">
      <c r="B72" s="684" t="s">
        <v>86</v>
      </c>
      <c r="C72" s="685">
        <v>1746</v>
      </c>
      <c r="D72" s="685">
        <v>1770</v>
      </c>
      <c r="E72" s="685">
        <v>1800</v>
      </c>
      <c r="F72" s="685">
        <v>1840</v>
      </c>
      <c r="G72" s="685">
        <v>1860</v>
      </c>
      <c r="H72" s="685">
        <v>1870</v>
      </c>
      <c r="I72" s="261">
        <v>1900</v>
      </c>
      <c r="J72" s="703">
        <f t="shared" si="12"/>
        <v>1951.2934363479803</v>
      </c>
      <c r="K72" s="699">
        <f t="shared" si="13"/>
        <v>2002.2408537328488</v>
      </c>
    </row>
    <row r="73" spans="2:11" ht="14">
      <c r="B73" s="684" t="s">
        <v>77</v>
      </c>
      <c r="C73" s="685">
        <v>27957</v>
      </c>
      <c r="D73" s="685">
        <v>29410</v>
      </c>
      <c r="E73" s="685">
        <v>30920</v>
      </c>
      <c r="F73" s="685">
        <v>32370</v>
      </c>
      <c r="G73" s="685">
        <v>33880</v>
      </c>
      <c r="H73" s="685">
        <v>35340</v>
      </c>
      <c r="I73" s="261">
        <v>36860</v>
      </c>
      <c r="J73" s="703">
        <f t="shared" si="12"/>
        <v>37855.09266515082</v>
      </c>
      <c r="K73" s="699">
        <f t="shared" si="13"/>
        <v>38843.472562417272</v>
      </c>
    </row>
    <row r="74" spans="2:11" ht="14">
      <c r="B74" s="684" t="s">
        <v>74</v>
      </c>
      <c r="C74" s="685">
        <v>14701</v>
      </c>
      <c r="D74" s="685">
        <v>15430</v>
      </c>
      <c r="E74" s="685">
        <v>16190</v>
      </c>
      <c r="F74" s="685">
        <v>16900</v>
      </c>
      <c r="G74" s="685">
        <v>17670</v>
      </c>
      <c r="H74" s="685">
        <v>18410</v>
      </c>
      <c r="I74" s="261">
        <v>19170</v>
      </c>
      <c r="J74" s="703">
        <f t="shared" si="12"/>
        <v>19687.523776205675</v>
      </c>
      <c r="K74" s="699">
        <f t="shared" si="13"/>
        <v>20201.556403188795</v>
      </c>
    </row>
    <row r="75" spans="2:11" ht="14">
      <c r="B75" s="684" t="s">
        <v>85</v>
      </c>
      <c r="C75" s="685">
        <v>11524</v>
      </c>
      <c r="D75" s="685">
        <v>11830</v>
      </c>
      <c r="E75" s="685">
        <v>12150</v>
      </c>
      <c r="F75" s="685">
        <v>12450</v>
      </c>
      <c r="G75" s="685">
        <v>12770</v>
      </c>
      <c r="H75" s="685">
        <v>13080</v>
      </c>
      <c r="I75" s="261">
        <v>13390</v>
      </c>
      <c r="J75" s="703">
        <f t="shared" si="12"/>
        <v>13751.483743526031</v>
      </c>
      <c r="K75" s="699">
        <f t="shared" si="13"/>
        <v>14110.528963938341</v>
      </c>
    </row>
    <row r="76" spans="2:11" ht="14">
      <c r="B76" s="684" t="s">
        <v>76</v>
      </c>
      <c r="C76" s="685">
        <v>38233</v>
      </c>
      <c r="D76" s="685">
        <v>39930</v>
      </c>
      <c r="E76" s="685">
        <v>41690</v>
      </c>
      <c r="F76" s="685">
        <v>43370</v>
      </c>
      <c r="G76" s="685">
        <v>45150</v>
      </c>
      <c r="H76" s="685">
        <v>46860</v>
      </c>
      <c r="I76" s="261">
        <v>48620</v>
      </c>
      <c r="J76" s="703">
        <f t="shared" si="12"/>
        <v>49932.57203959937</v>
      </c>
      <c r="K76" s="699">
        <f t="shared" si="13"/>
        <v>51236.289636047957</v>
      </c>
    </row>
    <row r="77" spans="2:11" ht="14">
      <c r="B77" s="684" t="s">
        <v>82</v>
      </c>
      <c r="C77" s="685">
        <v>20938</v>
      </c>
      <c r="D77" s="685">
        <v>22080</v>
      </c>
      <c r="E77" s="685">
        <v>23250</v>
      </c>
      <c r="F77" s="685">
        <v>24370</v>
      </c>
      <c r="G77" s="685">
        <v>25570</v>
      </c>
      <c r="H77" s="685">
        <v>26720</v>
      </c>
      <c r="I77" s="261">
        <v>27900</v>
      </c>
      <c r="J77" s="703">
        <f t="shared" si="12"/>
        <v>28653.203617951924</v>
      </c>
      <c r="K77" s="699">
        <f t="shared" si="13"/>
        <v>29401.326220603416</v>
      </c>
    </row>
    <row r="78" spans="2:11" ht="14">
      <c r="B78" s="684" t="s">
        <v>90</v>
      </c>
      <c r="C78" s="685">
        <v>1977</v>
      </c>
      <c r="D78" s="685">
        <v>1990</v>
      </c>
      <c r="E78" s="685">
        <v>2030</v>
      </c>
      <c r="F78" s="685">
        <v>2060</v>
      </c>
      <c r="G78" s="685">
        <v>2060</v>
      </c>
      <c r="H78" s="685">
        <v>2060</v>
      </c>
      <c r="I78" s="261">
        <v>2080</v>
      </c>
      <c r="J78" s="703">
        <f t="shared" si="12"/>
        <v>2136.1528145283155</v>
      </c>
      <c r="K78" s="699">
        <f t="shared" si="13"/>
        <v>2191.9268293496452</v>
      </c>
    </row>
    <row r="79" spans="2:11" ht="14">
      <c r="B79" s="684" t="s">
        <v>93</v>
      </c>
      <c r="C79" s="685">
        <v>21066</v>
      </c>
      <c r="D79" s="685">
        <v>21900</v>
      </c>
      <c r="E79" s="685">
        <v>22750</v>
      </c>
      <c r="F79" s="685">
        <v>23550</v>
      </c>
      <c r="G79" s="685">
        <v>24440</v>
      </c>
      <c r="H79" s="685">
        <v>25300</v>
      </c>
      <c r="I79" s="261">
        <v>26190</v>
      </c>
      <c r="J79" s="703">
        <f t="shared" si="12"/>
        <v>26897.039525238739</v>
      </c>
      <c r="K79" s="699">
        <f t="shared" si="13"/>
        <v>27599.309452243848</v>
      </c>
    </row>
    <row r="80" spans="2:11" ht="14.5" thickBot="1">
      <c r="B80" s="695" t="s">
        <v>0</v>
      </c>
      <c r="C80" s="688">
        <v>257837</v>
      </c>
      <c r="D80" s="688">
        <v>267150</v>
      </c>
      <c r="E80" s="688">
        <v>277200</v>
      </c>
      <c r="F80" s="688">
        <v>286790</v>
      </c>
      <c r="G80" s="688">
        <v>296280</v>
      </c>
      <c r="H80" s="688">
        <v>305390</v>
      </c>
      <c r="I80" s="689">
        <v>315100</v>
      </c>
      <c r="J80" s="704">
        <f t="shared" si="12"/>
        <v>323606.61147013085</v>
      </c>
      <c r="K80" s="700">
        <f t="shared" si="13"/>
        <v>332055.83842695825</v>
      </c>
    </row>
    <row r="81" spans="2:11" ht="45.75" customHeight="1" thickBot="1">
      <c r="B81" s="696" t="s">
        <v>54</v>
      </c>
      <c r="C81" s="697"/>
      <c r="D81" s="697"/>
      <c r="E81" s="697"/>
      <c r="F81" s="697"/>
      <c r="G81" s="697"/>
      <c r="H81" s="697"/>
      <c r="I81" s="1286" t="s">
        <v>286</v>
      </c>
      <c r="J81" s="1264"/>
      <c r="K81" s="1265"/>
    </row>
    <row r="82" spans="2:11" ht="14.5" thickBot="1">
      <c r="B82" s="30"/>
      <c r="C82" s="30"/>
      <c r="D82" s="30"/>
      <c r="E82" s="30"/>
      <c r="F82" s="30"/>
      <c r="G82" s="30"/>
      <c r="H82" s="30"/>
      <c r="I82" s="28"/>
    </row>
    <row r="83" spans="2:11" ht="18.5" thickBot="1">
      <c r="B83" s="1280" t="s">
        <v>411</v>
      </c>
      <c r="C83" s="1281"/>
      <c r="D83" s="1281"/>
      <c r="E83" s="1281"/>
      <c r="F83" s="1281"/>
      <c r="G83" s="1281"/>
      <c r="H83" s="1281"/>
      <c r="I83" s="1281"/>
      <c r="J83" s="1281"/>
      <c r="K83" s="1282"/>
    </row>
    <row r="84" spans="2:11" ht="14">
      <c r="B84" s="694" t="s">
        <v>36</v>
      </c>
      <c r="C84" s="595">
        <v>2010</v>
      </c>
      <c r="D84" s="595">
        <v>2015</v>
      </c>
      <c r="E84" s="595">
        <v>2020</v>
      </c>
      <c r="F84" s="595">
        <v>2025</v>
      </c>
      <c r="G84" s="595">
        <v>2030</v>
      </c>
      <c r="H84" s="595">
        <v>2035</v>
      </c>
      <c r="I84" s="596">
        <v>2040</v>
      </c>
      <c r="J84" s="701">
        <v>2045</v>
      </c>
      <c r="K84" s="702">
        <v>2050</v>
      </c>
    </row>
    <row r="85" spans="2:11" ht="14">
      <c r="B85" s="684" t="s">
        <v>92</v>
      </c>
      <c r="C85" s="685">
        <v>2610</v>
      </c>
      <c r="D85" s="685">
        <v>2730</v>
      </c>
      <c r="E85" s="685">
        <v>2870</v>
      </c>
      <c r="F85" s="685">
        <v>2920</v>
      </c>
      <c r="G85" s="685">
        <v>2980</v>
      </c>
      <c r="H85" s="685">
        <v>3080</v>
      </c>
      <c r="I85" s="261">
        <v>3160</v>
      </c>
      <c r="J85" s="703">
        <f>I85*(1+$E$145)</f>
        <v>3249.9150720955386</v>
      </c>
      <c r="K85" s="699">
        <f>J85*(1+$F$145)</f>
        <v>3344.2624950190402</v>
      </c>
    </row>
    <row r="86" spans="2:11" ht="14">
      <c r="B86" s="684" t="s">
        <v>80</v>
      </c>
      <c r="C86" s="685">
        <v>8180</v>
      </c>
      <c r="D86" s="685">
        <v>8790</v>
      </c>
      <c r="E86" s="685">
        <v>9450</v>
      </c>
      <c r="F86" s="685">
        <v>9640</v>
      </c>
      <c r="G86" s="685">
        <v>9840</v>
      </c>
      <c r="H86" s="685">
        <v>10130</v>
      </c>
      <c r="I86" s="261">
        <v>10450</v>
      </c>
      <c r="J86" s="703">
        <f t="shared" ref="J86:J106" si="14">I86*(1+$E$145)</f>
        <v>10747.345728923538</v>
      </c>
      <c r="K86" s="699">
        <f t="shared" ref="K86:K106" si="15">J86*(1+$F$145)</f>
        <v>11059.349073718029</v>
      </c>
    </row>
    <row r="87" spans="2:11" ht="14">
      <c r="B87" s="684" t="s">
        <v>78</v>
      </c>
      <c r="C87" s="685">
        <v>6780</v>
      </c>
      <c r="D87" s="685">
        <v>7320</v>
      </c>
      <c r="E87" s="685">
        <v>7890</v>
      </c>
      <c r="F87" s="685">
        <v>7790</v>
      </c>
      <c r="G87" s="685">
        <v>7690</v>
      </c>
      <c r="H87" s="685">
        <v>7680</v>
      </c>
      <c r="I87" s="261">
        <v>7670</v>
      </c>
      <c r="J87" s="703">
        <f t="shared" si="14"/>
        <v>7888.2432287888541</v>
      </c>
      <c r="K87" s="699">
        <f t="shared" si="15"/>
        <v>8117.2447268341894</v>
      </c>
    </row>
    <row r="88" spans="2:11" ht="14">
      <c r="B88" s="684" t="s">
        <v>89</v>
      </c>
      <c r="C88" s="685">
        <v>29540</v>
      </c>
      <c r="D88" s="685">
        <v>31910</v>
      </c>
      <c r="E88" s="685">
        <v>34470</v>
      </c>
      <c r="F88" s="685">
        <v>35090</v>
      </c>
      <c r="G88" s="685">
        <v>35740</v>
      </c>
      <c r="H88" s="685">
        <v>36740</v>
      </c>
      <c r="I88" s="261">
        <v>37780</v>
      </c>
      <c r="J88" s="703">
        <f t="shared" si="14"/>
        <v>38854.997286002988</v>
      </c>
      <c r="K88" s="699">
        <f t="shared" si="15"/>
        <v>39982.986411968144</v>
      </c>
    </row>
    <row r="89" spans="2:11" ht="14">
      <c r="B89" s="684" t="s">
        <v>83</v>
      </c>
      <c r="C89" s="685">
        <v>2780</v>
      </c>
      <c r="D89" s="685">
        <v>2910</v>
      </c>
      <c r="E89" s="685">
        <v>3030</v>
      </c>
      <c r="F89" s="685">
        <v>3070</v>
      </c>
      <c r="G89" s="685">
        <v>3090</v>
      </c>
      <c r="H89" s="685">
        <v>3140</v>
      </c>
      <c r="I89" s="261">
        <v>3200</v>
      </c>
      <c r="J89" s="703">
        <f t="shared" si="14"/>
        <v>3291.0532375651023</v>
      </c>
      <c r="K89" s="699">
        <f t="shared" si="15"/>
        <v>3386.5949316648507</v>
      </c>
    </row>
    <row r="90" spans="2:11" ht="14">
      <c r="B90" s="684" t="s">
        <v>81</v>
      </c>
      <c r="C90" s="685">
        <v>20760</v>
      </c>
      <c r="D90" s="685">
        <v>22300</v>
      </c>
      <c r="E90" s="685">
        <v>23960</v>
      </c>
      <c r="F90" s="685">
        <v>24460</v>
      </c>
      <c r="G90" s="685">
        <v>25000</v>
      </c>
      <c r="H90" s="685">
        <v>25780</v>
      </c>
      <c r="I90" s="261">
        <v>26580</v>
      </c>
      <c r="J90" s="703">
        <f t="shared" si="14"/>
        <v>27336.310954525132</v>
      </c>
      <c r="K90" s="699">
        <f t="shared" si="15"/>
        <v>28129.904151141167</v>
      </c>
    </row>
    <row r="91" spans="2:11" ht="14">
      <c r="B91" s="684" t="s">
        <v>72</v>
      </c>
      <c r="C91" s="685">
        <v>2670</v>
      </c>
      <c r="D91" s="685">
        <v>2920</v>
      </c>
      <c r="E91" s="685">
        <v>3200</v>
      </c>
      <c r="F91" s="685">
        <v>3310</v>
      </c>
      <c r="G91" s="685">
        <v>3380</v>
      </c>
      <c r="H91" s="685">
        <v>3540</v>
      </c>
      <c r="I91" s="261">
        <v>3680</v>
      </c>
      <c r="J91" s="703">
        <f t="shared" si="14"/>
        <v>3784.7112231998676</v>
      </c>
      <c r="K91" s="699">
        <f t="shared" si="15"/>
        <v>3894.5841714145786</v>
      </c>
    </row>
    <row r="92" spans="2:11" ht="14">
      <c r="B92" s="684" t="s">
        <v>87</v>
      </c>
      <c r="C92" s="685">
        <v>13780</v>
      </c>
      <c r="D92" s="685">
        <v>14810</v>
      </c>
      <c r="E92" s="685">
        <v>15920</v>
      </c>
      <c r="F92" s="685">
        <v>16190</v>
      </c>
      <c r="G92" s="685">
        <v>16470</v>
      </c>
      <c r="H92" s="685">
        <v>16900</v>
      </c>
      <c r="I92" s="261">
        <v>17350</v>
      </c>
      <c r="J92" s="703">
        <f t="shared" si="14"/>
        <v>17843.679272423287</v>
      </c>
      <c r="K92" s="699">
        <f t="shared" si="15"/>
        <v>18361.694395120361</v>
      </c>
    </row>
    <row r="93" spans="2:11" ht="14">
      <c r="B93" s="684" t="s">
        <v>84</v>
      </c>
      <c r="C93" s="685">
        <v>5030</v>
      </c>
      <c r="D93" s="685">
        <v>5330</v>
      </c>
      <c r="E93" s="685">
        <v>5650</v>
      </c>
      <c r="F93" s="685">
        <v>5710</v>
      </c>
      <c r="G93" s="685">
        <v>5770</v>
      </c>
      <c r="H93" s="685">
        <v>5900</v>
      </c>
      <c r="I93" s="261">
        <v>6020</v>
      </c>
      <c r="J93" s="703">
        <f t="shared" si="14"/>
        <v>6191.2939031693486</v>
      </c>
      <c r="K93" s="699">
        <f t="shared" si="15"/>
        <v>6371.031715194501</v>
      </c>
    </row>
    <row r="94" spans="2:11" ht="14">
      <c r="B94" s="684" t="s">
        <v>79</v>
      </c>
      <c r="C94" s="685">
        <v>1850</v>
      </c>
      <c r="D94" s="685">
        <v>1950</v>
      </c>
      <c r="E94" s="685">
        <v>2040</v>
      </c>
      <c r="F94" s="685">
        <v>2080</v>
      </c>
      <c r="G94" s="685">
        <v>2130</v>
      </c>
      <c r="H94" s="685">
        <v>2200</v>
      </c>
      <c r="I94" s="261">
        <v>2250</v>
      </c>
      <c r="J94" s="703">
        <f t="shared" si="14"/>
        <v>2314.0218076629626</v>
      </c>
      <c r="K94" s="699">
        <f t="shared" si="15"/>
        <v>2381.1995613268482</v>
      </c>
    </row>
    <row r="95" spans="2:11" ht="14">
      <c r="B95" s="684" t="s">
        <v>91</v>
      </c>
      <c r="C95" s="685">
        <v>28890</v>
      </c>
      <c r="D95" s="685">
        <v>30910</v>
      </c>
      <c r="E95" s="685">
        <v>33060</v>
      </c>
      <c r="F95" s="685">
        <v>33310</v>
      </c>
      <c r="G95" s="685">
        <v>33660</v>
      </c>
      <c r="H95" s="685">
        <v>34280</v>
      </c>
      <c r="I95" s="261">
        <v>34980</v>
      </c>
      <c r="J95" s="703">
        <f t="shared" si="14"/>
        <v>35975.325703133523</v>
      </c>
      <c r="K95" s="699">
        <f t="shared" si="15"/>
        <v>37019.715846761399</v>
      </c>
    </row>
    <row r="96" spans="2:11" ht="14">
      <c r="B96" s="684" t="s">
        <v>73</v>
      </c>
      <c r="C96" s="685">
        <v>6870</v>
      </c>
      <c r="D96" s="685">
        <v>7480</v>
      </c>
      <c r="E96" s="685">
        <v>8140</v>
      </c>
      <c r="F96" s="685">
        <v>8370</v>
      </c>
      <c r="G96" s="685">
        <v>8620</v>
      </c>
      <c r="H96" s="685">
        <v>8950</v>
      </c>
      <c r="I96" s="261">
        <v>9300</v>
      </c>
      <c r="J96" s="703">
        <f t="shared" si="14"/>
        <v>9564.623471673578</v>
      </c>
      <c r="K96" s="699">
        <f t="shared" si="15"/>
        <v>9842.2915201509713</v>
      </c>
    </row>
    <row r="97" spans="2:11" ht="14">
      <c r="B97" s="684" t="s">
        <v>88</v>
      </c>
      <c r="C97" s="685">
        <v>5870</v>
      </c>
      <c r="D97" s="685">
        <v>6210</v>
      </c>
      <c r="E97" s="685">
        <v>6560</v>
      </c>
      <c r="F97" s="685">
        <v>6650</v>
      </c>
      <c r="G97" s="685">
        <v>6770</v>
      </c>
      <c r="H97" s="685">
        <v>6930</v>
      </c>
      <c r="I97" s="261">
        <v>7100</v>
      </c>
      <c r="J97" s="703">
        <f t="shared" si="14"/>
        <v>7302.0243708475709</v>
      </c>
      <c r="K97" s="699">
        <f t="shared" si="15"/>
        <v>7514.0075046313877</v>
      </c>
    </row>
    <row r="98" spans="2:11" ht="14">
      <c r="B98" s="684" t="s">
        <v>86</v>
      </c>
      <c r="C98" s="685">
        <v>1500</v>
      </c>
      <c r="D98" s="685">
        <v>1580</v>
      </c>
      <c r="E98" s="685">
        <v>1660</v>
      </c>
      <c r="F98" s="685">
        <v>1680</v>
      </c>
      <c r="G98" s="685">
        <v>1700</v>
      </c>
      <c r="H98" s="685">
        <v>1750</v>
      </c>
      <c r="I98" s="261">
        <v>1770</v>
      </c>
      <c r="J98" s="703">
        <f t="shared" si="14"/>
        <v>1820.3638220281973</v>
      </c>
      <c r="K98" s="699">
        <f t="shared" si="15"/>
        <v>1873.2103215771208</v>
      </c>
    </row>
    <row r="99" spans="2:11" ht="14">
      <c r="B99" s="684" t="s">
        <v>77</v>
      </c>
      <c r="C99" s="685">
        <v>58080</v>
      </c>
      <c r="D99" s="685">
        <v>64160</v>
      </c>
      <c r="E99" s="685">
        <v>70960</v>
      </c>
      <c r="F99" s="685">
        <v>72090</v>
      </c>
      <c r="G99" s="685">
        <v>73330</v>
      </c>
      <c r="H99" s="685">
        <v>75340</v>
      </c>
      <c r="I99" s="261">
        <v>77480</v>
      </c>
      <c r="J99" s="703">
        <f t="shared" si="14"/>
        <v>79684.626514545045</v>
      </c>
      <c r="K99" s="699">
        <f t="shared" si="15"/>
        <v>81997.929782935214</v>
      </c>
    </row>
    <row r="100" spans="2:11" ht="14">
      <c r="B100" s="684" t="s">
        <v>74</v>
      </c>
      <c r="C100" s="685">
        <v>12710</v>
      </c>
      <c r="D100" s="685">
        <v>13800</v>
      </c>
      <c r="E100" s="685">
        <v>15010</v>
      </c>
      <c r="F100" s="685">
        <v>15390</v>
      </c>
      <c r="G100" s="685">
        <v>15810</v>
      </c>
      <c r="H100" s="685">
        <v>16360</v>
      </c>
      <c r="I100" s="261">
        <v>16950</v>
      </c>
      <c r="J100" s="703">
        <f t="shared" si="14"/>
        <v>17432.297617727651</v>
      </c>
      <c r="K100" s="699">
        <f t="shared" si="15"/>
        <v>17938.370028662255</v>
      </c>
    </row>
    <row r="101" spans="2:11" ht="14">
      <c r="B101" s="684" t="s">
        <v>85</v>
      </c>
      <c r="C101" s="685">
        <v>15870</v>
      </c>
      <c r="D101" s="685">
        <v>17070</v>
      </c>
      <c r="E101" s="685">
        <v>18370</v>
      </c>
      <c r="F101" s="685">
        <v>18520</v>
      </c>
      <c r="G101" s="685">
        <v>18670</v>
      </c>
      <c r="H101" s="685">
        <v>19010</v>
      </c>
      <c r="I101" s="261">
        <v>19370</v>
      </c>
      <c r="J101" s="703">
        <f t="shared" si="14"/>
        <v>19921.156628636261</v>
      </c>
      <c r="K101" s="699">
        <f t="shared" si="15"/>
        <v>20499.482445733804</v>
      </c>
    </row>
    <row r="102" spans="2:11" ht="14">
      <c r="B102" s="684" t="s">
        <v>76</v>
      </c>
      <c r="C102" s="685">
        <v>52540</v>
      </c>
      <c r="D102" s="685">
        <v>57700</v>
      </c>
      <c r="E102" s="685">
        <v>63430</v>
      </c>
      <c r="F102" s="685">
        <v>65350</v>
      </c>
      <c r="G102" s="685">
        <v>67380</v>
      </c>
      <c r="H102" s="685">
        <v>70090</v>
      </c>
      <c r="I102" s="261">
        <v>72950</v>
      </c>
      <c r="J102" s="703">
        <f t="shared" si="14"/>
        <v>75025.729275116944</v>
      </c>
      <c r="K102" s="699">
        <f t="shared" si="15"/>
        <v>77203.781332797153</v>
      </c>
    </row>
    <row r="103" spans="2:11" ht="14">
      <c r="B103" s="684" t="s">
        <v>82</v>
      </c>
      <c r="C103" s="685">
        <v>43550</v>
      </c>
      <c r="D103" s="685">
        <v>47350</v>
      </c>
      <c r="E103" s="685">
        <v>51510</v>
      </c>
      <c r="F103" s="685">
        <v>51720</v>
      </c>
      <c r="G103" s="685">
        <v>52010</v>
      </c>
      <c r="H103" s="685">
        <v>52870</v>
      </c>
      <c r="I103" s="261">
        <v>53790</v>
      </c>
      <c r="J103" s="703">
        <f t="shared" si="14"/>
        <v>55320.548015195891</v>
      </c>
      <c r="K103" s="699">
        <f t="shared" si="15"/>
        <v>56926.544179453849</v>
      </c>
    </row>
    <row r="104" spans="2:11" ht="14">
      <c r="B104" s="684" t="s">
        <v>90</v>
      </c>
      <c r="C104" s="685">
        <v>1760</v>
      </c>
      <c r="D104" s="685">
        <v>1840</v>
      </c>
      <c r="E104" s="685">
        <v>1940</v>
      </c>
      <c r="F104" s="685">
        <v>1970</v>
      </c>
      <c r="G104" s="685">
        <v>1990</v>
      </c>
      <c r="H104" s="685">
        <v>2010</v>
      </c>
      <c r="I104" s="261">
        <v>2060</v>
      </c>
      <c r="J104" s="703">
        <f t="shared" si="14"/>
        <v>2118.6155216825346</v>
      </c>
      <c r="K104" s="699">
        <f t="shared" si="15"/>
        <v>2180.1204872592475</v>
      </c>
    </row>
    <row r="105" spans="2:11" ht="14">
      <c r="B105" s="684" t="s">
        <v>93</v>
      </c>
      <c r="C105" s="685">
        <v>23570</v>
      </c>
      <c r="D105" s="685">
        <v>25870</v>
      </c>
      <c r="E105" s="685">
        <v>28430</v>
      </c>
      <c r="F105" s="685">
        <v>28930</v>
      </c>
      <c r="G105" s="685">
        <v>29470</v>
      </c>
      <c r="H105" s="685">
        <v>30300</v>
      </c>
      <c r="I105" s="261">
        <v>31180</v>
      </c>
      <c r="J105" s="703">
        <f t="shared" si="14"/>
        <v>32067.199983524966</v>
      </c>
      <c r="K105" s="699">
        <f t="shared" si="15"/>
        <v>32998.134365409394</v>
      </c>
    </row>
    <row r="106" spans="2:11" ht="14.5" thickBot="1">
      <c r="B106" s="695" t="s">
        <v>0</v>
      </c>
      <c r="C106" s="688">
        <v>345190</v>
      </c>
      <c r="D106" s="688">
        <v>374940</v>
      </c>
      <c r="E106" s="688">
        <v>407550</v>
      </c>
      <c r="F106" s="688">
        <v>414240</v>
      </c>
      <c r="G106" s="688">
        <v>421500</v>
      </c>
      <c r="H106" s="688">
        <v>432980</v>
      </c>
      <c r="I106" s="689">
        <v>445070</v>
      </c>
      <c r="J106" s="704">
        <f t="shared" si="14"/>
        <v>457734.08263846877</v>
      </c>
      <c r="K106" s="700">
        <f t="shared" si="15"/>
        <v>471022.43944877351</v>
      </c>
    </row>
    <row r="107" spans="2:11" ht="30" customHeight="1" thickBot="1">
      <c r="B107" s="1271" t="s">
        <v>54</v>
      </c>
      <c r="C107" s="1140"/>
      <c r="D107" s="1140"/>
      <c r="E107" s="1140"/>
      <c r="F107" s="1140"/>
      <c r="G107" s="1140"/>
      <c r="H107" s="1272"/>
      <c r="I107" s="1283" t="s">
        <v>287</v>
      </c>
      <c r="J107" s="1284"/>
      <c r="K107" s="1285"/>
    </row>
    <row r="108" spans="2:11" ht="14.5" thickBot="1">
      <c r="B108" s="30"/>
      <c r="C108" s="30"/>
      <c r="D108" s="30"/>
      <c r="E108" s="30"/>
      <c r="F108" s="30"/>
      <c r="G108" s="30"/>
      <c r="H108" s="30"/>
      <c r="I108" s="30"/>
    </row>
    <row r="109" spans="2:11" ht="18.5" thickBot="1">
      <c r="B109" s="1260" t="s">
        <v>562</v>
      </c>
      <c r="C109" s="1261"/>
      <c r="D109" s="1261"/>
      <c r="E109" s="1261"/>
      <c r="F109" s="1261"/>
      <c r="G109" s="1261"/>
      <c r="H109" s="1261"/>
      <c r="I109" s="1261"/>
      <c r="J109" s="1261"/>
      <c r="K109" s="1262"/>
    </row>
    <row r="110" spans="2:11" ht="14">
      <c r="B110" s="681" t="s">
        <v>36</v>
      </c>
      <c r="C110" s="593">
        <v>2010</v>
      </c>
      <c r="D110" s="593">
        <v>2015</v>
      </c>
      <c r="E110" s="593">
        <v>2020</v>
      </c>
      <c r="F110" s="593">
        <v>2025</v>
      </c>
      <c r="G110" s="593">
        <v>2030</v>
      </c>
      <c r="H110" s="593">
        <v>2035</v>
      </c>
      <c r="I110" s="594">
        <v>2040</v>
      </c>
      <c r="J110" s="682">
        <v>2045</v>
      </c>
      <c r="K110" s="683">
        <v>2050</v>
      </c>
    </row>
    <row r="111" spans="2:11" ht="14">
      <c r="B111" s="684" t="s">
        <v>92</v>
      </c>
      <c r="C111" s="685">
        <v>6914</v>
      </c>
      <c r="D111" s="685">
        <v>7100</v>
      </c>
      <c r="E111" s="685">
        <v>7200</v>
      </c>
      <c r="F111" s="685">
        <v>7400</v>
      </c>
      <c r="G111" s="685">
        <v>7500</v>
      </c>
      <c r="H111" s="685">
        <v>7700</v>
      </c>
      <c r="I111" s="261">
        <v>7900</v>
      </c>
      <c r="J111" s="679">
        <f>I111*(1+$E$147)</f>
        <v>8231.1200774688459</v>
      </c>
      <c r="K111" s="686">
        <f>J111*(1+$F$147)</f>
        <v>8589.2425160059047</v>
      </c>
    </row>
    <row r="112" spans="2:11" ht="14">
      <c r="B112" s="684" t="s">
        <v>80</v>
      </c>
      <c r="C112" s="685">
        <v>25835</v>
      </c>
      <c r="D112" s="685">
        <v>26400</v>
      </c>
      <c r="E112" s="685">
        <v>27000</v>
      </c>
      <c r="F112" s="685">
        <v>27700</v>
      </c>
      <c r="G112" s="685">
        <v>28200</v>
      </c>
      <c r="H112" s="685">
        <v>28800</v>
      </c>
      <c r="I112" s="261">
        <v>29600</v>
      </c>
      <c r="J112" s="679">
        <f t="shared" ref="J112:J132" si="16">I112*(1+$E$147)</f>
        <v>30840.652442161754</v>
      </c>
      <c r="K112" s="686">
        <f t="shared" ref="K112:K132" si="17">J112*(1+$F$147)</f>
        <v>32182.478287819595</v>
      </c>
    </row>
    <row r="113" spans="2:11" ht="14">
      <c r="B113" s="684" t="s">
        <v>78</v>
      </c>
      <c r="C113" s="685">
        <v>4282</v>
      </c>
      <c r="D113" s="685">
        <v>4400</v>
      </c>
      <c r="E113" s="685">
        <v>4500</v>
      </c>
      <c r="F113" s="685">
        <v>4600</v>
      </c>
      <c r="G113" s="685">
        <v>4800</v>
      </c>
      <c r="H113" s="685">
        <v>4900</v>
      </c>
      <c r="I113" s="261">
        <v>5100</v>
      </c>
      <c r="J113" s="679">
        <f t="shared" si="16"/>
        <v>5313.7610626697615</v>
      </c>
      <c r="K113" s="686">
        <f t="shared" si="17"/>
        <v>5544.9540293202672</v>
      </c>
    </row>
    <row r="114" spans="2:11" ht="14">
      <c r="B114" s="684" t="s">
        <v>89</v>
      </c>
      <c r="C114" s="685">
        <v>28806</v>
      </c>
      <c r="D114" s="685">
        <v>30200</v>
      </c>
      <c r="E114" s="685">
        <v>31700</v>
      </c>
      <c r="F114" s="685">
        <v>33200</v>
      </c>
      <c r="G114" s="685">
        <v>34800</v>
      </c>
      <c r="H114" s="685">
        <v>36600</v>
      </c>
      <c r="I114" s="261">
        <v>38400</v>
      </c>
      <c r="J114" s="679">
        <f t="shared" si="16"/>
        <v>40009.495060101734</v>
      </c>
      <c r="K114" s="686">
        <f t="shared" si="17"/>
        <v>41750.242103117307</v>
      </c>
    </row>
    <row r="115" spans="2:11" ht="14">
      <c r="B115" s="684" t="s">
        <v>83</v>
      </c>
      <c r="C115" s="685">
        <v>1403</v>
      </c>
      <c r="D115" s="685">
        <v>1500</v>
      </c>
      <c r="E115" s="685">
        <v>1700</v>
      </c>
      <c r="F115" s="685">
        <v>1800</v>
      </c>
      <c r="G115" s="685">
        <v>2000</v>
      </c>
      <c r="H115" s="685">
        <v>2200</v>
      </c>
      <c r="I115" s="261">
        <v>2300</v>
      </c>
      <c r="J115" s="679">
        <f t="shared" si="16"/>
        <v>2396.4020478706766</v>
      </c>
      <c r="K115" s="686">
        <f t="shared" si="17"/>
        <v>2500.6655426346301</v>
      </c>
    </row>
    <row r="116" spans="2:11" ht="14">
      <c r="B116" s="684" t="s">
        <v>81</v>
      </c>
      <c r="C116" s="685">
        <v>101123</v>
      </c>
      <c r="D116" s="685">
        <v>104000</v>
      </c>
      <c r="E116" s="685">
        <v>107100</v>
      </c>
      <c r="F116" s="685">
        <v>110300</v>
      </c>
      <c r="G116" s="685">
        <v>113700</v>
      </c>
      <c r="H116" s="685">
        <v>117500</v>
      </c>
      <c r="I116" s="261">
        <v>121400</v>
      </c>
      <c r="J116" s="679">
        <f t="shared" si="16"/>
        <v>126488.35157021746</v>
      </c>
      <c r="K116" s="686">
        <f t="shared" si="17"/>
        <v>131991.65081558441</v>
      </c>
    </row>
    <row r="117" spans="2:11" ht="14">
      <c r="B117" s="684" t="s">
        <v>72</v>
      </c>
      <c r="C117" s="685">
        <v>28155</v>
      </c>
      <c r="D117" s="685">
        <v>29200</v>
      </c>
      <c r="E117" s="685">
        <v>30800</v>
      </c>
      <c r="F117" s="685">
        <v>32400</v>
      </c>
      <c r="G117" s="685">
        <v>33200</v>
      </c>
      <c r="H117" s="685">
        <v>34100</v>
      </c>
      <c r="I117" s="261">
        <v>35500</v>
      </c>
      <c r="J117" s="679">
        <f t="shared" si="16"/>
        <v>36987.944651916965</v>
      </c>
      <c r="K117" s="686">
        <f t="shared" si="17"/>
        <v>38597.22902762147</v>
      </c>
    </row>
    <row r="118" spans="2:11" ht="14">
      <c r="B118" s="684" t="s">
        <v>87</v>
      </c>
      <c r="C118" s="685">
        <v>30567</v>
      </c>
      <c r="D118" s="685">
        <v>31000</v>
      </c>
      <c r="E118" s="685">
        <v>31600</v>
      </c>
      <c r="F118" s="685">
        <v>32300</v>
      </c>
      <c r="G118" s="685">
        <v>32700</v>
      </c>
      <c r="H118" s="685">
        <v>33300</v>
      </c>
      <c r="I118" s="261">
        <v>33900</v>
      </c>
      <c r="J118" s="679">
        <f t="shared" si="16"/>
        <v>35320.882357746064</v>
      </c>
      <c r="K118" s="686">
        <f t="shared" si="17"/>
        <v>36857.635606658252</v>
      </c>
    </row>
    <row r="119" spans="2:11" ht="14">
      <c r="B119" s="684" t="s">
        <v>84</v>
      </c>
      <c r="C119" s="685">
        <v>11324</v>
      </c>
      <c r="D119" s="685">
        <v>11400</v>
      </c>
      <c r="E119" s="685">
        <v>11700</v>
      </c>
      <c r="F119" s="685">
        <v>12100</v>
      </c>
      <c r="G119" s="685">
        <v>12200</v>
      </c>
      <c r="H119" s="685">
        <v>12300</v>
      </c>
      <c r="I119" s="261">
        <v>12400</v>
      </c>
      <c r="J119" s="679">
        <f t="shared" si="16"/>
        <v>12919.732779824519</v>
      </c>
      <c r="K119" s="686">
        <f t="shared" si="17"/>
        <v>13481.849012464965</v>
      </c>
    </row>
    <row r="120" spans="2:11" ht="14">
      <c r="B120" s="684" t="s">
        <v>79</v>
      </c>
      <c r="C120" s="685">
        <v>10825</v>
      </c>
      <c r="D120" s="685">
        <v>11000</v>
      </c>
      <c r="E120" s="685">
        <v>11200</v>
      </c>
      <c r="F120" s="685">
        <v>11400</v>
      </c>
      <c r="G120" s="685">
        <v>11600</v>
      </c>
      <c r="H120" s="685">
        <v>11900</v>
      </c>
      <c r="I120" s="261">
        <v>12100</v>
      </c>
      <c r="J120" s="679">
        <f t="shared" si="16"/>
        <v>12607.158599667473</v>
      </c>
      <c r="K120" s="686">
        <f t="shared" si="17"/>
        <v>13155.67524603436</v>
      </c>
    </row>
    <row r="121" spans="2:11" ht="14">
      <c r="B121" s="684" t="s">
        <v>91</v>
      </c>
      <c r="C121" s="685">
        <v>32026</v>
      </c>
      <c r="D121" s="685">
        <v>32900</v>
      </c>
      <c r="E121" s="685">
        <v>33800</v>
      </c>
      <c r="F121" s="685">
        <v>34700</v>
      </c>
      <c r="G121" s="685">
        <v>35800</v>
      </c>
      <c r="H121" s="685">
        <v>36900</v>
      </c>
      <c r="I121" s="261">
        <v>38100</v>
      </c>
      <c r="J121" s="679">
        <f t="shared" si="16"/>
        <v>39696.920879944686</v>
      </c>
      <c r="K121" s="686">
        <f t="shared" si="17"/>
        <v>41424.068336686702</v>
      </c>
    </row>
    <row r="122" spans="2:11" ht="14">
      <c r="B122" s="684" t="s">
        <v>73</v>
      </c>
      <c r="C122" s="685">
        <v>21532</v>
      </c>
      <c r="D122" s="685">
        <v>22800</v>
      </c>
      <c r="E122" s="685">
        <v>24200</v>
      </c>
      <c r="F122" s="685">
        <v>25600</v>
      </c>
      <c r="G122" s="685">
        <v>27100</v>
      </c>
      <c r="H122" s="685">
        <v>28700</v>
      </c>
      <c r="I122" s="261">
        <v>30300</v>
      </c>
      <c r="J122" s="679">
        <f t="shared" si="16"/>
        <v>31569.992195861523</v>
      </c>
      <c r="K122" s="686">
        <f t="shared" si="17"/>
        <v>32943.550409490999</v>
      </c>
    </row>
    <row r="123" spans="2:11" ht="14">
      <c r="B123" s="684" t="s">
        <v>88</v>
      </c>
      <c r="C123" s="685">
        <v>37234</v>
      </c>
      <c r="D123" s="685">
        <v>37600</v>
      </c>
      <c r="E123" s="685">
        <v>38200</v>
      </c>
      <c r="F123" s="685">
        <v>39000</v>
      </c>
      <c r="G123" s="685">
        <v>39200</v>
      </c>
      <c r="H123" s="685">
        <v>39600</v>
      </c>
      <c r="I123" s="261">
        <v>40300</v>
      </c>
      <c r="J123" s="679">
        <f t="shared" si="16"/>
        <v>41989.131534429682</v>
      </c>
      <c r="K123" s="686">
        <f t="shared" si="17"/>
        <v>43816.009290511131</v>
      </c>
    </row>
    <row r="124" spans="2:11" ht="14">
      <c r="B124" s="684" t="s">
        <v>86</v>
      </c>
      <c r="C124" s="685">
        <v>4353</v>
      </c>
      <c r="D124" s="685">
        <v>4400</v>
      </c>
      <c r="E124" s="685">
        <v>4500</v>
      </c>
      <c r="F124" s="685">
        <v>4600</v>
      </c>
      <c r="G124" s="685">
        <v>4700</v>
      </c>
      <c r="H124" s="685">
        <v>4800</v>
      </c>
      <c r="I124" s="261">
        <v>4900</v>
      </c>
      <c r="J124" s="679">
        <f t="shared" si="16"/>
        <v>5105.378275898398</v>
      </c>
      <c r="K124" s="686">
        <f t="shared" si="17"/>
        <v>5327.504851699865</v>
      </c>
    </row>
    <row r="125" spans="2:11" ht="14">
      <c r="B125" s="684" t="s">
        <v>77</v>
      </c>
      <c r="C125" s="685">
        <v>76815</v>
      </c>
      <c r="D125" s="685">
        <v>80300</v>
      </c>
      <c r="E125" s="685">
        <v>84000</v>
      </c>
      <c r="F125" s="685">
        <v>87800</v>
      </c>
      <c r="G125" s="685">
        <v>91900</v>
      </c>
      <c r="H125" s="685">
        <v>96300</v>
      </c>
      <c r="I125" s="261">
        <v>100800</v>
      </c>
      <c r="J125" s="679">
        <f t="shared" si="16"/>
        <v>105024.92453276705</v>
      </c>
      <c r="K125" s="686">
        <f t="shared" si="17"/>
        <v>109594.38552068293</v>
      </c>
    </row>
    <row r="126" spans="2:11" ht="14">
      <c r="B126" s="684" t="s">
        <v>74</v>
      </c>
      <c r="C126" s="685">
        <v>41114</v>
      </c>
      <c r="D126" s="685">
        <v>43500</v>
      </c>
      <c r="E126" s="685">
        <v>45900</v>
      </c>
      <c r="F126" s="685">
        <v>48400</v>
      </c>
      <c r="G126" s="685">
        <v>51100</v>
      </c>
      <c r="H126" s="685">
        <v>53900</v>
      </c>
      <c r="I126" s="261">
        <v>56800</v>
      </c>
      <c r="J126" s="679">
        <f t="shared" si="16"/>
        <v>59180.71144306715</v>
      </c>
      <c r="K126" s="686">
        <f t="shared" si="17"/>
        <v>61755.566444194359</v>
      </c>
    </row>
    <row r="127" spans="2:11" ht="14">
      <c r="B127" s="684" t="s">
        <v>85</v>
      </c>
      <c r="C127" s="685">
        <v>28406</v>
      </c>
      <c r="D127" s="685">
        <v>29200</v>
      </c>
      <c r="E127" s="685">
        <v>30100</v>
      </c>
      <c r="F127" s="685">
        <v>31000</v>
      </c>
      <c r="G127" s="685">
        <v>31900</v>
      </c>
      <c r="H127" s="685">
        <v>32900</v>
      </c>
      <c r="I127" s="261">
        <v>34000</v>
      </c>
      <c r="J127" s="679">
        <f t="shared" si="16"/>
        <v>35425.073751131742</v>
      </c>
      <c r="K127" s="686">
        <f t="shared" si="17"/>
        <v>36966.360195468449</v>
      </c>
    </row>
    <row r="128" spans="2:11" ht="14">
      <c r="B128" s="684" t="s">
        <v>76</v>
      </c>
      <c r="C128" s="685">
        <v>97207</v>
      </c>
      <c r="D128" s="685">
        <v>101500</v>
      </c>
      <c r="E128" s="685">
        <v>106000</v>
      </c>
      <c r="F128" s="685">
        <v>110500</v>
      </c>
      <c r="G128" s="685">
        <v>115400</v>
      </c>
      <c r="H128" s="685">
        <v>120600</v>
      </c>
      <c r="I128" s="261">
        <v>126000</v>
      </c>
      <c r="J128" s="679">
        <f t="shared" si="16"/>
        <v>131281.15566595882</v>
      </c>
      <c r="K128" s="686">
        <f t="shared" si="17"/>
        <v>136992.98190085369</v>
      </c>
    </row>
    <row r="129" spans="2:12" ht="14">
      <c r="B129" s="684" t="s">
        <v>82</v>
      </c>
      <c r="C129" s="685">
        <v>63632</v>
      </c>
      <c r="D129" s="685">
        <v>67200</v>
      </c>
      <c r="E129" s="685">
        <v>71000</v>
      </c>
      <c r="F129" s="685">
        <v>74800</v>
      </c>
      <c r="G129" s="685">
        <v>78800</v>
      </c>
      <c r="H129" s="685">
        <v>83200</v>
      </c>
      <c r="I129" s="261">
        <v>87700</v>
      </c>
      <c r="J129" s="679">
        <f t="shared" si="16"/>
        <v>91375.851999242761</v>
      </c>
      <c r="K129" s="686">
        <f t="shared" si="17"/>
        <v>95351.464386546562</v>
      </c>
    </row>
    <row r="130" spans="2:12" ht="14">
      <c r="B130" s="684" t="s">
        <v>90</v>
      </c>
      <c r="C130" s="685">
        <v>5287</v>
      </c>
      <c r="D130" s="685">
        <v>5300</v>
      </c>
      <c r="E130" s="685">
        <v>5400</v>
      </c>
      <c r="F130" s="685">
        <v>5500</v>
      </c>
      <c r="G130" s="685">
        <v>5600</v>
      </c>
      <c r="H130" s="685">
        <v>5600</v>
      </c>
      <c r="I130" s="261">
        <v>5700</v>
      </c>
      <c r="J130" s="679">
        <f t="shared" si="16"/>
        <v>5938.9094229838511</v>
      </c>
      <c r="K130" s="686">
        <f t="shared" si="17"/>
        <v>6197.3015621814757</v>
      </c>
    </row>
    <row r="131" spans="2:12" ht="14">
      <c r="B131" s="684" t="s">
        <v>93</v>
      </c>
      <c r="C131" s="685">
        <v>61611</v>
      </c>
      <c r="D131" s="685">
        <v>64500</v>
      </c>
      <c r="E131" s="685">
        <v>67500</v>
      </c>
      <c r="F131" s="685">
        <v>70500</v>
      </c>
      <c r="G131" s="685">
        <v>73900</v>
      </c>
      <c r="H131" s="685">
        <v>77500</v>
      </c>
      <c r="I131" s="261">
        <v>81200</v>
      </c>
      <c r="J131" s="679">
        <f t="shared" si="16"/>
        <v>84603.411429173459</v>
      </c>
      <c r="K131" s="686">
        <f t="shared" si="17"/>
        <v>88284.366113883472</v>
      </c>
    </row>
    <row r="132" spans="2:12" ht="14.5" thickBot="1">
      <c r="B132" s="687" t="s">
        <v>0</v>
      </c>
      <c r="C132" s="688">
        <v>718451</v>
      </c>
      <c r="D132" s="688">
        <v>745400</v>
      </c>
      <c r="E132" s="688">
        <v>775100</v>
      </c>
      <c r="F132" s="688">
        <v>805600</v>
      </c>
      <c r="G132" s="688">
        <v>836100</v>
      </c>
      <c r="H132" s="688">
        <v>869300</v>
      </c>
      <c r="I132" s="689">
        <v>904400</v>
      </c>
      <c r="J132" s="680">
        <f t="shared" si="16"/>
        <v>942306.96178010432</v>
      </c>
      <c r="K132" s="693">
        <f t="shared" si="17"/>
        <v>983305.18119946076</v>
      </c>
    </row>
    <row r="133" spans="2:12" ht="31.5" customHeight="1" thickBot="1">
      <c r="B133" s="690" t="s">
        <v>54</v>
      </c>
      <c r="C133" s="691"/>
      <c r="D133" s="691"/>
      <c r="E133" s="691"/>
      <c r="F133" s="691"/>
      <c r="G133" s="691"/>
      <c r="H133" s="692"/>
      <c r="I133" s="1263" t="s">
        <v>287</v>
      </c>
      <c r="J133" s="1264"/>
      <c r="K133" s="1265"/>
    </row>
    <row r="137" spans="2:12" ht="13" thickBot="1"/>
    <row r="138" spans="2:12" ht="15" customHeight="1">
      <c r="B138" s="1257" t="s">
        <v>561</v>
      </c>
      <c r="C138" s="1258"/>
      <c r="D138" s="1258"/>
      <c r="E138" s="1258"/>
      <c r="F138" s="1258"/>
      <c r="G138" s="1258"/>
      <c r="H138" s="1258"/>
      <c r="I138" s="1259"/>
    </row>
    <row r="139" spans="2:12">
      <c r="B139" s="667" t="s">
        <v>557</v>
      </c>
      <c r="C139" s="666" t="s">
        <v>558</v>
      </c>
      <c r="D139" s="666" t="s">
        <v>559</v>
      </c>
      <c r="E139" s="660" t="s">
        <v>560</v>
      </c>
      <c r="F139" s="660" t="s">
        <v>636</v>
      </c>
      <c r="G139" s="660"/>
      <c r="H139" s="665" t="s">
        <v>635</v>
      </c>
      <c r="I139" s="668" t="s">
        <v>634</v>
      </c>
      <c r="K139" s="1"/>
      <c r="L139" s="1"/>
    </row>
    <row r="140" spans="2:12">
      <c r="B140" s="669"/>
      <c r="C140" s="670"/>
      <c r="D140" s="670"/>
      <c r="E140" s="661"/>
      <c r="F140" s="661"/>
      <c r="G140" s="661"/>
      <c r="H140" s="666"/>
      <c r="I140" s="668"/>
      <c r="K140" s="1"/>
      <c r="L140" s="1"/>
    </row>
    <row r="141" spans="2:12">
      <c r="B141" s="669"/>
      <c r="C141" s="670"/>
      <c r="D141" s="670"/>
      <c r="E141" s="661"/>
      <c r="F141" s="661"/>
      <c r="G141" s="661"/>
      <c r="H141" s="666"/>
      <c r="I141" s="668"/>
      <c r="K141" s="1"/>
      <c r="L141" s="1"/>
    </row>
    <row r="142" spans="2:12">
      <c r="B142" s="1255" t="s">
        <v>565</v>
      </c>
      <c r="C142" s="1256"/>
      <c r="D142" s="1256"/>
      <c r="E142" s="1256"/>
      <c r="F142" s="678"/>
      <c r="G142" s="678"/>
      <c r="H142" s="666"/>
      <c r="I142" s="668"/>
      <c r="K142" s="1"/>
      <c r="L142" s="1"/>
    </row>
    <row r="143" spans="2:12">
      <c r="B143" s="671">
        <f>G80/F80-1</f>
        <v>3.3090414589072248E-2</v>
      </c>
      <c r="C143" s="672">
        <f>H80/G80-1</f>
        <v>3.0747941136762602E-2</v>
      </c>
      <c r="D143" s="672">
        <f>I106/H106-1</f>
        <v>2.7922767795279135E-2</v>
      </c>
      <c r="E143" s="662">
        <f>D143*(1-H143)</f>
        <v>2.6996545446305587E-2</v>
      </c>
      <c r="F143" s="662">
        <f>E143*(1-I143)</f>
        <v>2.6109562219520023E-2</v>
      </c>
      <c r="G143" s="662"/>
      <c r="H143" s="666">
        <f>TREND(B143:D143)</f>
        <v>3.3170864570601213E-2</v>
      </c>
      <c r="I143" s="668">
        <f>TREND(B143:E143)</f>
        <v>3.2855434357322411E-2</v>
      </c>
      <c r="K143" s="1"/>
      <c r="L143" s="1"/>
    </row>
    <row r="144" spans="2:12">
      <c r="B144" s="1255" t="s">
        <v>564</v>
      </c>
      <c r="C144" s="1256"/>
      <c r="D144" s="1256"/>
      <c r="E144" s="1256"/>
      <c r="F144" s="678"/>
      <c r="G144" s="678"/>
      <c r="H144" s="666"/>
      <c r="I144" s="668"/>
      <c r="K144" s="1"/>
      <c r="L144" s="1"/>
    </row>
    <row r="145" spans="2:12">
      <c r="B145" s="673">
        <f>G106/F106-1</f>
        <v>1.7526071842410174E-2</v>
      </c>
      <c r="C145" s="672">
        <f>H106/G106-1</f>
        <v>2.7236061684460244E-2</v>
      </c>
      <c r="D145" s="672">
        <f>I106/H106-1</f>
        <v>2.7922767795279135E-2</v>
      </c>
      <c r="E145" s="663">
        <f>D145*(1+H145)</f>
        <v>2.8454136739094485E-2</v>
      </c>
      <c r="F145" s="663">
        <f>E145*(1+I145)</f>
        <v>2.9030734905532964E-2</v>
      </c>
      <c r="G145" s="663"/>
      <c r="H145" s="666">
        <f>TREND(B145:D145)</f>
        <v>1.9029952464282036E-2</v>
      </c>
      <c r="I145" s="668">
        <f>TREND(B145:E145)</f>
        <v>2.0264124395180237E-2</v>
      </c>
      <c r="K145" s="1"/>
      <c r="L145" s="1"/>
    </row>
    <row r="146" spans="2:12">
      <c r="B146" s="1255" t="s">
        <v>563</v>
      </c>
      <c r="C146" s="1256"/>
      <c r="D146" s="1256"/>
      <c r="E146" s="1256"/>
      <c r="F146" s="678"/>
      <c r="G146" s="678"/>
      <c r="H146" s="666"/>
      <c r="I146" s="668"/>
      <c r="K146" s="1"/>
      <c r="L146" s="1"/>
    </row>
    <row r="147" spans="2:12" ht="13" thickBot="1">
      <c r="B147" s="674">
        <f>(G132/F132)-1</f>
        <v>3.7859980139026916E-2</v>
      </c>
      <c r="C147" s="675">
        <f>H132/G132-1</f>
        <v>3.9708168879320604E-2</v>
      </c>
      <c r="D147" s="675">
        <f>I132/H132-1</f>
        <v>4.0377315081099763E-2</v>
      </c>
      <c r="E147" s="664">
        <f>D147*(1+H147)</f>
        <v>4.1913933856816035E-2</v>
      </c>
      <c r="F147" s="664">
        <f>E147*(1+I147)</f>
        <v>4.3508348215858361E-2</v>
      </c>
      <c r="G147" s="664"/>
      <c r="H147" s="676">
        <f>TREND(B147:D147)</f>
        <v>3.8056487228779336E-2</v>
      </c>
      <c r="I147" s="677">
        <f>TREND(B147:E147)</f>
        <v>3.8040198385793846E-2</v>
      </c>
      <c r="K147" s="1"/>
      <c r="L147" s="1"/>
    </row>
  </sheetData>
  <mergeCells count="16">
    <mergeCell ref="B28:H28"/>
    <mergeCell ref="B2:I2"/>
    <mergeCell ref="B107:H107"/>
    <mergeCell ref="B55:H55"/>
    <mergeCell ref="B4:J4"/>
    <mergeCell ref="B31:J31"/>
    <mergeCell ref="B83:K83"/>
    <mergeCell ref="I107:K107"/>
    <mergeCell ref="B57:K57"/>
    <mergeCell ref="I81:K81"/>
    <mergeCell ref="B146:E146"/>
    <mergeCell ref="B144:E144"/>
    <mergeCell ref="B142:E142"/>
    <mergeCell ref="B138:I138"/>
    <mergeCell ref="B109:K109"/>
    <mergeCell ref="I133:K133"/>
  </mergeCells>
  <hyperlinks>
    <hyperlink ref="I28" r:id="rId1" xr:uid="{00000000-0004-0000-0500-000001000000}"/>
    <hyperlink ref="I107" r:id="rId2" xr:uid="{00000000-0004-0000-0500-000002000000}"/>
    <hyperlink ref="I133" r:id="rId3" xr:uid="{00000000-0004-0000-0500-000003000000}"/>
    <hyperlink ref="I55" r:id="rId4" xr:uid="{7E2E79E2-2997-4625-BBC8-AD93D955CA11}"/>
    <hyperlink ref="I81" r:id="rId5" xr:uid="{5EA32E78-F2D7-4E70-9872-651940D923F2}"/>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C20"/>
  <sheetViews>
    <sheetView zoomScale="85" zoomScaleNormal="85" workbookViewId="0">
      <selection activeCell="H19" sqref="H19"/>
    </sheetView>
  </sheetViews>
  <sheetFormatPr defaultRowHeight="14"/>
  <cols>
    <col min="1" max="1" width="2.83203125" style="58" customWidth="1"/>
    <col min="2" max="2" width="31.08203125" customWidth="1"/>
    <col min="3" max="3" width="14.83203125" customWidth="1"/>
    <col min="4" max="4" width="16.83203125" style="58" customWidth="1"/>
    <col min="5" max="5" width="14.83203125" customWidth="1"/>
    <col min="6" max="6" width="14.83203125" style="11" customWidth="1"/>
    <col min="7" max="7" width="14.83203125" style="58" customWidth="1"/>
    <col min="8" max="8" width="25.58203125" style="58" customWidth="1"/>
    <col min="9" max="9" width="14.83203125" customWidth="1"/>
    <col min="10" max="10" width="22.6640625" customWidth="1"/>
  </cols>
  <sheetData>
    <row r="1" spans="2:29" s="58" customFormat="1" ht="14.5" thickBot="1"/>
    <row r="2" spans="2:29" ht="85.5" customHeight="1">
      <c r="B2" s="77" t="s">
        <v>1</v>
      </c>
      <c r="C2" s="101" t="s">
        <v>121</v>
      </c>
      <c r="D2" s="101" t="s">
        <v>105</v>
      </c>
      <c r="E2" s="101" t="s">
        <v>112</v>
      </c>
      <c r="F2" s="101" t="s">
        <v>110</v>
      </c>
      <c r="G2" s="102" t="s">
        <v>111</v>
      </c>
      <c r="H2" s="101" t="s">
        <v>115</v>
      </c>
      <c r="I2" s="101" t="s">
        <v>122</v>
      </c>
      <c r="J2" s="103" t="s">
        <v>116</v>
      </c>
      <c r="K2" s="54"/>
      <c r="L2" s="54"/>
      <c r="M2" s="54"/>
      <c r="N2" s="54"/>
      <c r="O2" s="54"/>
      <c r="P2" s="54"/>
      <c r="Q2" s="54"/>
      <c r="R2" s="54"/>
      <c r="S2" s="54"/>
      <c r="T2" s="54"/>
      <c r="U2" s="54"/>
      <c r="V2" s="54"/>
      <c r="W2" s="54"/>
      <c r="X2" s="54"/>
      <c r="Y2" s="54"/>
      <c r="Z2" s="54"/>
      <c r="AA2" s="54"/>
      <c r="AB2" s="54"/>
      <c r="AC2" s="54"/>
    </row>
    <row r="3" spans="2:29">
      <c r="B3" s="93" t="s">
        <v>2</v>
      </c>
      <c r="C3" s="111">
        <f>SUM('GHG Inventories'!D19:D20)</f>
        <v>99144</v>
      </c>
      <c r="D3" s="96">
        <f>Forecast!I48</f>
        <v>85075.872109910662</v>
      </c>
      <c r="E3" s="104">
        <f>D3/$D$8</f>
        <v>0.13717226098669399</v>
      </c>
      <c r="F3" s="96">
        <f>(Forecast!P157/2)+Forecast!P158</f>
        <v>-9994.5407950829212</v>
      </c>
      <c r="G3" s="105">
        <f>C13*0.65</f>
        <v>0</v>
      </c>
      <c r="H3" s="96">
        <f>D3-F3-G3</f>
        <v>95070.412904993587</v>
      </c>
      <c r="I3" s="96">
        <f>C3*0.51</f>
        <v>50563.44</v>
      </c>
      <c r="J3" s="94">
        <f>H3-I3</f>
        <v>44506.972904993585</v>
      </c>
    </row>
    <row r="4" spans="2:29">
      <c r="B4" s="93" t="s">
        <v>3</v>
      </c>
      <c r="C4" s="111">
        <f>SUM('GHG Inventories'!D21:D23)</f>
        <v>189166</v>
      </c>
      <c r="D4" s="96">
        <f>Forecast!I49</f>
        <v>187986.09181575305</v>
      </c>
      <c r="E4" s="104">
        <f t="shared" ref="E4:E8" si="0">D4/$D$8</f>
        <v>0.30309976975734315</v>
      </c>
      <c r="F4" s="96">
        <f>(Forecast!P157/2)+Forecast!P159</f>
        <v>-49230.872171282812</v>
      </c>
      <c r="G4" s="105">
        <f>C13*0.35</f>
        <v>0</v>
      </c>
      <c r="H4" s="96">
        <f>D4-F4-G4</f>
        <v>237216.96398703585</v>
      </c>
      <c r="I4" s="96">
        <f t="shared" ref="I4:I8" si="1">C4*0.51</f>
        <v>96474.66</v>
      </c>
      <c r="J4" s="94">
        <f t="shared" ref="J4:J6" si="2">H4-I4</f>
        <v>140742.30398703585</v>
      </c>
    </row>
    <row r="5" spans="2:29">
      <c r="B5" s="93" t="s">
        <v>18</v>
      </c>
      <c r="C5" s="96">
        <f>SUM('GHG Inventories'!D24:D28)</f>
        <v>329495</v>
      </c>
      <c r="D5" s="96">
        <f>Forecast!I50</f>
        <v>333246.91696698696</v>
      </c>
      <c r="E5" s="104">
        <f t="shared" si="0"/>
        <v>0.53731136611976693</v>
      </c>
      <c r="F5" s="96">
        <f>Forecast!P154+Forecast!P155</f>
        <v>-84725.570420592339</v>
      </c>
      <c r="G5" s="105">
        <f>C14</f>
        <v>0</v>
      </c>
      <c r="H5" s="96">
        <f>D5-F5-G5</f>
        <v>417972.48738757928</v>
      </c>
      <c r="I5" s="96">
        <f t="shared" si="1"/>
        <v>168042.45</v>
      </c>
      <c r="J5" s="94">
        <f t="shared" si="2"/>
        <v>249930.03738757927</v>
      </c>
    </row>
    <row r="6" spans="2:29">
      <c r="B6" s="93" t="s">
        <v>26</v>
      </c>
      <c r="C6" s="96">
        <f>SUM('GHG Inventories'!D30:D32)</f>
        <v>22356</v>
      </c>
      <c r="D6" s="96">
        <f>Forecast!I51</f>
        <v>12951.341445446395</v>
      </c>
      <c r="E6" s="104">
        <f t="shared" si="0"/>
        <v>2.0882122566870564E-2</v>
      </c>
      <c r="F6" s="96" t="s">
        <v>27</v>
      </c>
      <c r="G6" s="105">
        <f>C15</f>
        <v>0</v>
      </c>
      <c r="H6" s="96">
        <f>D6-G6</f>
        <v>12951.341445446395</v>
      </c>
      <c r="I6" s="96">
        <f t="shared" si="1"/>
        <v>11401.56</v>
      </c>
      <c r="J6" s="94">
        <f t="shared" si="2"/>
        <v>1549.7814454463951</v>
      </c>
    </row>
    <row r="7" spans="2:29">
      <c r="B7" s="93" t="s">
        <v>23</v>
      </c>
      <c r="C7" s="106" t="s">
        <v>27</v>
      </c>
      <c r="D7" s="96">
        <f>Forecast!I52</f>
        <v>951.70314852309048</v>
      </c>
      <c r="E7" s="104">
        <f t="shared" si="0"/>
        <v>1.5344805693253661E-3</v>
      </c>
      <c r="F7" s="96" t="s">
        <v>27</v>
      </c>
      <c r="G7" s="105" t="s">
        <v>27</v>
      </c>
      <c r="H7" s="96">
        <f>D7</f>
        <v>951.70314852309048</v>
      </c>
      <c r="I7" s="96" t="s">
        <v>27</v>
      </c>
      <c r="J7" s="94" t="s">
        <v>27</v>
      </c>
    </row>
    <row r="8" spans="2:29" ht="14.5" thickBot="1">
      <c r="B8" s="107" t="s">
        <v>6</v>
      </c>
      <c r="C8" s="108">
        <f>SUM(C3:C6)</f>
        <v>640161</v>
      </c>
      <c r="D8" s="108">
        <f>SUM(D3:D7)</f>
        <v>620211.92548662017</v>
      </c>
      <c r="E8" s="109">
        <f t="shared" si="0"/>
        <v>1</v>
      </c>
      <c r="F8" s="108">
        <f>SUM(F3,F4,F5,F6,F7)</f>
        <v>-143950.98338695808</v>
      </c>
      <c r="G8" s="108">
        <f>SUM(G3:G7)</f>
        <v>0</v>
      </c>
      <c r="H8" s="108">
        <f>SUM(H3:H7)</f>
        <v>764162.90887357818</v>
      </c>
      <c r="I8" s="97">
        <f t="shared" si="1"/>
        <v>326482.11</v>
      </c>
      <c r="J8" s="110">
        <f>SUM(J3:J7)</f>
        <v>436729.09572505509</v>
      </c>
    </row>
    <row r="9" spans="2:29">
      <c r="C9" s="58"/>
      <c r="D9" s="18"/>
      <c r="E9" s="18"/>
      <c r="F9" s="18"/>
      <c r="G9" s="98" t="s">
        <v>113</v>
      </c>
      <c r="H9" s="99" t="e">
        <f>#REF!</f>
        <v>#REF!</v>
      </c>
      <c r="I9" s="64"/>
      <c r="J9" s="100"/>
    </row>
    <row r="10" spans="2:29" ht="30" customHeight="1" thickBot="1">
      <c r="C10" s="58"/>
      <c r="D10" s="18"/>
      <c r="E10" s="18"/>
      <c r="F10" s="18"/>
      <c r="G10" s="56" t="s">
        <v>114</v>
      </c>
      <c r="H10" s="55" t="e">
        <f>H8-H9</f>
        <v>#REF!</v>
      </c>
      <c r="I10" s="40"/>
      <c r="J10" s="61"/>
    </row>
    <row r="11" spans="2:29" s="58" customFormat="1">
      <c r="C11" s="18"/>
      <c r="D11" s="18"/>
      <c r="E11" s="18"/>
      <c r="F11" s="18"/>
      <c r="G11" s="18"/>
      <c r="H11" s="18"/>
    </row>
    <row r="12" spans="2:29">
      <c r="B12" s="60" t="s">
        <v>109</v>
      </c>
      <c r="C12" s="18"/>
      <c r="D12" s="18"/>
      <c r="E12" s="18"/>
      <c r="F12" s="18"/>
      <c r="G12" s="18"/>
      <c r="H12" s="18"/>
    </row>
    <row r="13" spans="2:29" ht="31.5" customHeight="1">
      <c r="B13" s="59" t="s">
        <v>106</v>
      </c>
      <c r="C13" s="112">
        <v>0</v>
      </c>
      <c r="D13" s="57"/>
      <c r="E13" s="18"/>
      <c r="F13" s="18"/>
      <c r="G13" s="18"/>
      <c r="H13" s="18"/>
    </row>
    <row r="14" spans="2:29" ht="31.5" customHeight="1">
      <c r="B14" s="59" t="s">
        <v>107</v>
      </c>
      <c r="C14" s="112">
        <v>0</v>
      </c>
      <c r="D14" s="57"/>
    </row>
    <row r="15" spans="2:29" ht="31.5" customHeight="1">
      <c r="B15" s="59" t="s">
        <v>108</v>
      </c>
      <c r="C15" s="112">
        <v>0</v>
      </c>
      <c r="D15" s="57"/>
    </row>
    <row r="16" spans="2:29" ht="31.5" customHeight="1">
      <c r="B16" s="59" t="s">
        <v>6</v>
      </c>
      <c r="C16" s="112">
        <v>0</v>
      </c>
      <c r="D16" s="57"/>
    </row>
    <row r="18" spans="2:6">
      <c r="F18" s="61"/>
    </row>
    <row r="19" spans="2:6" ht="42">
      <c r="B19" s="62" t="s">
        <v>119</v>
      </c>
      <c r="C19" s="63">
        <f>D3/SUM(D3:D4)</f>
        <v>0.31156251455464906</v>
      </c>
    </row>
    <row r="20" spans="2:6" ht="42">
      <c r="B20" s="62" t="s">
        <v>120</v>
      </c>
      <c r="C20" s="63">
        <f>D4/SUM(D3:D4)</f>
        <v>0.68843748544535088</v>
      </c>
    </row>
  </sheetData>
  <pageMargins left="0.7" right="0.7" top="0.75" bottom="0.75" header="0.3" footer="0.3"/>
  <pageSetup orientation="portrait" r:id="rId1"/>
  <ignoredErrors>
    <ignoredError sqref="C3:C6"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AC56"/>
  <sheetViews>
    <sheetView showGridLines="0" zoomScale="115" zoomScaleNormal="115" workbookViewId="0">
      <selection activeCell="E4" sqref="E4:I4"/>
    </sheetView>
  </sheetViews>
  <sheetFormatPr defaultRowHeight="14"/>
  <cols>
    <col min="1" max="1" width="3.08203125" customWidth="1"/>
    <col min="2" max="2" width="28.4140625" customWidth="1"/>
    <col min="3" max="14" width="14.08203125" customWidth="1"/>
    <col min="15" max="21" width="12.08203125" customWidth="1"/>
    <col min="22" max="22" width="13.83203125" customWidth="1"/>
    <col min="23" max="24" width="12.08203125" customWidth="1"/>
  </cols>
  <sheetData>
    <row r="1" spans="2:29" s="58" customFormat="1" ht="57" customHeight="1" thickBot="1">
      <c r="B1" s="1138" t="s">
        <v>428</v>
      </c>
      <c r="C1" s="1139"/>
      <c r="D1" s="1139"/>
      <c r="E1" s="1139"/>
      <c r="F1" s="1139"/>
      <c r="G1" s="1140"/>
      <c r="H1" s="1141"/>
    </row>
    <row r="2" spans="2:29" s="58" customFormat="1" ht="14.5" thickBot="1"/>
    <row r="3" spans="2:29" s="58" customFormat="1" ht="21" customHeight="1" thickBot="1">
      <c r="B3" s="1223" t="s">
        <v>427</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5"/>
    </row>
    <row r="4" spans="2:29" s="58" customFormat="1" ht="36" customHeight="1" thickBot="1">
      <c r="B4" s="268"/>
      <c r="C4" s="1294" t="s">
        <v>512</v>
      </c>
      <c r="D4" s="1294"/>
      <c r="E4" s="1295" t="s">
        <v>412</v>
      </c>
      <c r="F4" s="1296"/>
      <c r="G4" s="1296"/>
      <c r="H4" s="1296"/>
      <c r="I4" s="1297"/>
      <c r="J4" s="1298" t="s">
        <v>413</v>
      </c>
      <c r="K4" s="1299"/>
      <c r="L4" s="1299"/>
      <c r="M4" s="1299"/>
      <c r="N4" s="1300"/>
      <c r="O4" s="1301" t="s">
        <v>414</v>
      </c>
      <c r="P4" s="1302"/>
      <c r="Q4" s="1302"/>
      <c r="R4" s="1302"/>
      <c r="S4" s="1303"/>
      <c r="T4" s="1304" t="s">
        <v>415</v>
      </c>
      <c r="U4" s="1305"/>
      <c r="V4" s="1305"/>
      <c r="W4" s="1305"/>
      <c r="X4" s="1306"/>
      <c r="Y4" s="1287" t="s">
        <v>416</v>
      </c>
      <c r="Z4" s="1288"/>
      <c r="AA4" s="1288"/>
      <c r="AB4" s="1288"/>
      <c r="AC4" s="1289"/>
    </row>
    <row r="5" spans="2:29" s="58" customFormat="1" ht="58.5" thickBot="1">
      <c r="B5" s="269" t="s">
        <v>238</v>
      </c>
      <c r="C5" s="270" t="s">
        <v>511</v>
      </c>
      <c r="D5" s="271" t="s">
        <v>279</v>
      </c>
      <c r="E5" s="959" t="s">
        <v>513</v>
      </c>
      <c r="F5" s="961" t="s">
        <v>514</v>
      </c>
      <c r="G5" s="961" t="s">
        <v>687</v>
      </c>
      <c r="H5" s="961" t="s">
        <v>688</v>
      </c>
      <c r="I5" s="978" t="s">
        <v>689</v>
      </c>
      <c r="J5" s="979" t="s">
        <v>248</v>
      </c>
      <c r="K5" s="994" t="s">
        <v>249</v>
      </c>
      <c r="L5" s="979" t="s">
        <v>690</v>
      </c>
      <c r="M5" s="980" t="s">
        <v>691</v>
      </c>
      <c r="N5" s="981" t="s">
        <v>692</v>
      </c>
      <c r="O5" s="1019" t="s">
        <v>236</v>
      </c>
      <c r="P5" s="995" t="s">
        <v>237</v>
      </c>
      <c r="Q5" s="995" t="s">
        <v>693</v>
      </c>
      <c r="R5" s="995" t="s">
        <v>694</v>
      </c>
      <c r="S5" s="999" t="s">
        <v>695</v>
      </c>
      <c r="T5" s="1000" t="s">
        <v>417</v>
      </c>
      <c r="U5" s="1001" t="s">
        <v>418</v>
      </c>
      <c r="V5" s="1001" t="s">
        <v>696</v>
      </c>
      <c r="W5" s="1001" t="s">
        <v>697</v>
      </c>
      <c r="X5" s="1005" t="s">
        <v>698</v>
      </c>
      <c r="Y5" s="309" t="s">
        <v>419</v>
      </c>
      <c r="Z5" s="1006" t="s">
        <v>420</v>
      </c>
      <c r="AA5" s="1006" t="s">
        <v>699</v>
      </c>
      <c r="AB5" s="1006" t="s">
        <v>700</v>
      </c>
      <c r="AC5" s="272" t="s">
        <v>701</v>
      </c>
    </row>
    <row r="6" spans="2:29" s="58" customFormat="1" ht="14.5">
      <c r="B6" s="273" t="s">
        <v>117</v>
      </c>
      <c r="C6" s="274">
        <f>Forecast!F132</f>
        <v>26971.667316189003</v>
      </c>
      <c r="D6" s="291">
        <f>Forecast!E132</f>
        <v>120000000</v>
      </c>
      <c r="E6" s="960">
        <f>Forecast!H132</f>
        <v>4.0614940546006562E-3</v>
      </c>
      <c r="F6" s="956">
        <f>Forecast!S132</f>
        <v>4.0760184110770759E-3</v>
      </c>
      <c r="G6" s="962">
        <f>Forecast!AD132</f>
        <v>4.4537023155368782E-3</v>
      </c>
      <c r="H6" s="962">
        <f>Forecast!AO132</f>
        <v>4.9945387857048829E-3</v>
      </c>
      <c r="I6" s="956">
        <f>Forecast!AZ132</f>
        <v>5.4387920332972239E-3</v>
      </c>
      <c r="J6" s="975">
        <f>Forecast!J132</f>
        <v>27301.639674905837</v>
      </c>
      <c r="K6" s="976">
        <f>Forecast!U132</f>
        <v>28436.328428966659</v>
      </c>
      <c r="L6" s="977">
        <f>Forecast!AF132</f>
        <v>29874.183425150812</v>
      </c>
      <c r="M6" s="985">
        <f>Forecast!AQ132</f>
        <v>31009.262960958917</v>
      </c>
      <c r="N6" s="990">
        <f>Forecast!BB132</f>
        <v>32258.474322874208</v>
      </c>
      <c r="O6" s="975">
        <f>Forecast!I132</f>
        <v>121468084.36355928</v>
      </c>
      <c r="P6" s="977">
        <f>Forecast!T132</f>
        <v>126516443.03160392</v>
      </c>
      <c r="Q6" s="982">
        <f>Forecast!AE132</f>
        <v>132913622.61710675</v>
      </c>
      <c r="R6" s="982">
        <f>Forecast!AP132</f>
        <v>137963719.91736585</v>
      </c>
      <c r="S6" s="310">
        <f>Forecast!BA132</f>
        <v>143521602.62711802</v>
      </c>
      <c r="T6" s="975">
        <f>Forecast!L132</f>
        <v>121468084.36355928</v>
      </c>
      <c r="U6" s="985">
        <f>Forecast!W132</f>
        <v>117669822.44824526</v>
      </c>
      <c r="V6" s="982">
        <f>Forecast!AH132</f>
        <v>112442291.64762786</v>
      </c>
      <c r="W6" s="982">
        <f>Forecast!AS132</f>
        <v>114828774.5598138</v>
      </c>
      <c r="X6" s="982">
        <f>Forecast!BD132</f>
        <v>115097876.4814841</v>
      </c>
      <c r="Y6" s="297">
        <f>Forecast!P132</f>
        <v>27301.639674905833</v>
      </c>
      <c r="Z6" s="1009">
        <f>Forecast!AA132</f>
        <v>20066.497396101135</v>
      </c>
      <c r="AA6" s="1012">
        <f>Forecast!AL132</f>
        <v>6391.6783012375345</v>
      </c>
      <c r="AB6" s="1012">
        <f>Forecast!AW132</f>
        <v>0</v>
      </c>
      <c r="AC6" s="1016">
        <f>Forecast!BH132</f>
        <v>0</v>
      </c>
    </row>
    <row r="7" spans="2:29" s="58" customFormat="1" ht="14.5">
      <c r="B7" s="275" t="s">
        <v>239</v>
      </c>
      <c r="C7" s="276">
        <f>Forecast!F134</f>
        <v>70616.073684963849</v>
      </c>
      <c r="D7" s="292">
        <f>Forecast!E134</f>
        <v>381014021</v>
      </c>
      <c r="E7" s="304">
        <f>Forecast!H134</f>
        <v>9.5414126320407799E-3</v>
      </c>
      <c r="F7" s="954">
        <f>Forecast!S134</f>
        <v>6.6506721091372789E-3</v>
      </c>
      <c r="G7" s="963">
        <f>Forecast!AD134</f>
        <v>6.3944177610164576E-3</v>
      </c>
      <c r="H7" s="965">
        <f>Forecast!AO134</f>
        <v>6.2847709004891783E-3</v>
      </c>
      <c r="I7" s="954">
        <f>Forecast!AZ134</f>
        <v>6.2166428143841657E-3</v>
      </c>
      <c r="J7" s="973">
        <f>Forecast!J134</f>
        <v>72656.752673033028</v>
      </c>
      <c r="K7" s="288">
        <f>Forecast!U134</f>
        <v>76971.120468128283</v>
      </c>
      <c r="L7" s="292">
        <f>Forecast!AF134</f>
        <v>81765.972747269931</v>
      </c>
      <c r="M7" s="983">
        <f>Forecast!AQ134</f>
        <v>84156.714170763051</v>
      </c>
      <c r="N7" s="988">
        <f>Forecast!BB134</f>
        <v>86640.897784334666</v>
      </c>
      <c r="O7" s="298">
        <f>Forecast!I134</f>
        <v>392024648.8392536</v>
      </c>
      <c r="P7" s="292">
        <f>Forecast!T134</f>
        <v>415303125.47922814</v>
      </c>
      <c r="Q7" s="983">
        <f>Forecast!AE134</f>
        <v>441174090.14269924</v>
      </c>
      <c r="R7" s="983">
        <f>Forecast!AP134</f>
        <v>454073504.61595589</v>
      </c>
      <c r="S7" s="988">
        <f>Forecast!BA134</f>
        <v>467477093.03595001</v>
      </c>
      <c r="T7" s="298">
        <f>Forecast!L134</f>
        <v>392024648.8392536</v>
      </c>
      <c r="U7" s="983">
        <f>Forecast!W134</f>
        <v>290712187.83545965</v>
      </c>
      <c r="V7" s="983">
        <f>Forecast!AH134</f>
        <v>229410526.87420362</v>
      </c>
      <c r="W7" s="983">
        <f>Forecast!AS134</f>
        <v>181629401.84638238</v>
      </c>
      <c r="X7" s="983">
        <f>Forecast!BD134</f>
        <v>186990837.21438003</v>
      </c>
      <c r="Y7" s="973">
        <f>Forecast!P134</f>
        <v>88112.98673531806</v>
      </c>
      <c r="Z7" s="1007">
        <f>Forecast!AA134</f>
        <v>49575.798100493426</v>
      </c>
      <c r="AA7" s="526">
        <f>Forecast!AL134</f>
        <v>13040.629688449186</v>
      </c>
      <c r="AB7" s="523">
        <f>Forecast!AW134</f>
        <v>0</v>
      </c>
      <c r="AC7" s="1017">
        <f>Forecast!BH134</f>
        <v>0</v>
      </c>
    </row>
    <row r="8" spans="2:29" s="58" customFormat="1" ht="14.5">
      <c r="B8" s="275" t="s">
        <v>240</v>
      </c>
      <c r="C8" s="276">
        <f>Forecast!F136</f>
        <v>21170.75915147486</v>
      </c>
      <c r="D8" s="292">
        <f>Forecast!E136</f>
        <v>74766164.503838435</v>
      </c>
      <c r="E8" s="304">
        <f>Forecast!H136</f>
        <v>9.5414126320407799E-3</v>
      </c>
      <c r="F8" s="954">
        <f>Forecast!S136</f>
        <v>6.6506721091372789E-3</v>
      </c>
      <c r="G8" s="963">
        <f>Forecast!AD136</f>
        <v>6.3944177610164576E-3</v>
      </c>
      <c r="H8" s="965">
        <f>Forecast!AO136</f>
        <v>6.2847709004891783E-3</v>
      </c>
      <c r="I8" s="954">
        <f>Forecast!AZ136</f>
        <v>6.2166428143841657E-3</v>
      </c>
      <c r="J8" s="973">
        <f>Forecast!J136</f>
        <v>21782.556453525754</v>
      </c>
      <c r="K8" s="288">
        <f>Forecast!U136</f>
        <v>23076.007600191388</v>
      </c>
      <c r="L8" s="292">
        <f>Forecast!AF136</f>
        <v>24513.508405198936</v>
      </c>
      <c r="M8" s="983">
        <f>Forecast!AQ136</f>
        <v>25230.254724118171</v>
      </c>
      <c r="N8" s="988">
        <f>Forecast!BB136</f>
        <v>25975.015091362486</v>
      </c>
      <c r="O8" s="298">
        <f>Forecast!I136</f>
        <v>76926773.738531604</v>
      </c>
      <c r="P8" s="292">
        <f>Forecast!T136</f>
        <v>81494695.961695924</v>
      </c>
      <c r="Q8" s="983">
        <f>Forecast!AE136</f>
        <v>86571340.634313017</v>
      </c>
      <c r="R8" s="983">
        <f>Forecast!AP136</f>
        <v>89102585.395278662</v>
      </c>
      <c r="S8" s="988">
        <f>Forecast!BA136</f>
        <v>91732763.922884673</v>
      </c>
      <c r="T8" s="298">
        <f>Forecast!L136</f>
        <v>76926773.738531604</v>
      </c>
      <c r="U8" s="983">
        <f>Forecast!W136</f>
        <v>57046287.173187144</v>
      </c>
      <c r="V8" s="983">
        <f>Forecast!AH136</f>
        <v>45017097.129842773</v>
      </c>
      <c r="W8" s="983">
        <f>Forecast!AS136</f>
        <v>35641034.158111468</v>
      </c>
      <c r="X8" s="983">
        <f>Forecast!BD136</f>
        <v>36693105.569153868</v>
      </c>
      <c r="Y8" s="973">
        <f>Forecast!P136</f>
        <v>26416.348615084757</v>
      </c>
      <c r="Z8" s="1007">
        <f>Forecast!AA136</f>
        <v>14862.866576383607</v>
      </c>
      <c r="AA8" s="526">
        <f>Forecast!AL136</f>
        <v>3909.591908910048</v>
      </c>
      <c r="AB8" s="523">
        <f>Forecast!AW136</f>
        <v>0</v>
      </c>
      <c r="AC8" s="1017">
        <f>Forecast!BH136</f>
        <v>0</v>
      </c>
    </row>
    <row r="9" spans="2:29" s="58" customFormat="1" ht="14.5">
      <c r="B9" s="275" t="s">
        <v>241</v>
      </c>
      <c r="C9" s="276">
        <f>Forecast!F133</f>
        <v>53722.228343200004</v>
      </c>
      <c r="D9" s="292">
        <f>Forecast!E133</f>
        <v>10106522</v>
      </c>
      <c r="E9" s="304">
        <f>Forecast!H133</f>
        <v>4.0614940546006562E-3</v>
      </c>
      <c r="F9" s="954">
        <f>Forecast!S133</f>
        <v>4.0760184110770759E-3</v>
      </c>
      <c r="G9" s="963">
        <f>Forecast!AD133</f>
        <v>4.4537023155368782E-3</v>
      </c>
      <c r="H9" s="963">
        <f>Forecast!AO133</f>
        <v>4.9945387857048829E-3</v>
      </c>
      <c r="I9" s="954">
        <f>Forecast!AZ133</f>
        <v>5.4387920332972239E-3</v>
      </c>
      <c r="J9" s="973">
        <f>Forecast!J133</f>
        <v>54379.468038251784</v>
      </c>
      <c r="K9" s="288">
        <f>Forecast!U133</f>
        <v>56639.543680944</v>
      </c>
      <c r="L9" s="292">
        <f>Forecast!AF133</f>
        <v>59503.466534651008</v>
      </c>
      <c r="M9" s="983">
        <f>Forecast!AQ133</f>
        <v>61764.320537316817</v>
      </c>
      <c r="N9" s="988">
        <f>Forecast!BB133</f>
        <v>64252.502570967066</v>
      </c>
      <c r="O9" s="298">
        <f>Forecast!I133</f>
        <v>10230165.557651399</v>
      </c>
      <c r="P9" s="292">
        <f>Forecast!T133</f>
        <v>10655343.457172098</v>
      </c>
      <c r="Q9" s="983">
        <f>Forecast!AE133</f>
        <v>11194120.425662391</v>
      </c>
      <c r="R9" s="983">
        <f>Forecast!AP133</f>
        <v>11619444.754555801</v>
      </c>
      <c r="S9" s="988">
        <f>Forecast!BA133</f>
        <v>12087535.286885217</v>
      </c>
      <c r="T9" s="298">
        <f>Forecast!L133</f>
        <v>10230165.557651399</v>
      </c>
      <c r="U9" s="983">
        <f>Forecast!W133</f>
        <v>10282807.767374733</v>
      </c>
      <c r="V9" s="983">
        <f>Forecast!AH133</f>
        <v>10332062.272277726</v>
      </c>
      <c r="W9" s="983">
        <f>Forecast!AS133</f>
        <v>10645220.445285395</v>
      </c>
      <c r="X9" s="983">
        <f>Forecast!BD133</f>
        <v>10890597.730165116</v>
      </c>
      <c r="Y9" s="973">
        <f>Forecast!P133</f>
        <v>54379.468038251784</v>
      </c>
      <c r="Z9" s="1007">
        <f>Forecast!AA133</f>
        <v>54659.292968257134</v>
      </c>
      <c r="AA9" s="526">
        <f>Forecast!AL133</f>
        <v>54921.110214519482</v>
      </c>
      <c r="AB9" s="526">
        <f>Forecast!AW133</f>
        <v>56585.733798959045</v>
      </c>
      <c r="AC9" s="1017">
        <f>Forecast!BH133</f>
        <v>57890.061294465697</v>
      </c>
    </row>
    <row r="10" spans="2:29" s="58" customFormat="1" ht="14.5">
      <c r="B10" s="275" t="s">
        <v>242</v>
      </c>
      <c r="C10" s="276">
        <f>Forecast!F135</f>
        <v>64105.4874968</v>
      </c>
      <c r="D10" s="292">
        <f>Forecast!E135</f>
        <v>12059878</v>
      </c>
      <c r="E10" s="304">
        <f>Forecast!H135</f>
        <v>9.5414126320407799E-3</v>
      </c>
      <c r="F10" s="954">
        <f>Forecast!S135</f>
        <v>6.6506721091372789E-3</v>
      </c>
      <c r="G10" s="963">
        <f>Forecast!AD135</f>
        <v>6.3944177610164576E-3</v>
      </c>
      <c r="H10" s="963">
        <f>Forecast!AO135</f>
        <v>6.2847709004891783E-3</v>
      </c>
      <c r="I10" s="954">
        <f>Forecast!AZ135</f>
        <v>6.2166428143841657E-3</v>
      </c>
      <c r="J10" s="973">
        <f>Forecast!J135</f>
        <v>65958.022118567082</v>
      </c>
      <c r="K10" s="288">
        <f>Forecast!U135</f>
        <v>69874.618387837807</v>
      </c>
      <c r="L10" s="292">
        <f>Forecast!AF135</f>
        <v>74227.399940105926</v>
      </c>
      <c r="M10" s="983">
        <f>Forecast!AQ135</f>
        <v>76397.72231055591</v>
      </c>
      <c r="N10" s="988">
        <f>Forecast!BB135</f>
        <v>78652.871786722259</v>
      </c>
      <c r="O10" s="298">
        <f>Forecast!I135</f>
        <v>12408387.034119776</v>
      </c>
      <c r="P10" s="292">
        <f>Forecast!T135</f>
        <v>13145198.733508505</v>
      </c>
      <c r="Q10" s="983">
        <f>Forecast!AE135</f>
        <v>13964068.014919469</v>
      </c>
      <c r="R10" s="983">
        <f>Forecast!AP135</f>
        <v>14372361.033666173</v>
      </c>
      <c r="S10" s="988">
        <f>Forecast!BA135</f>
        <v>14796612.195560662</v>
      </c>
      <c r="T10" s="298">
        <f>Forecast!L135</f>
        <v>12408387.034119776</v>
      </c>
      <c r="U10" s="983">
        <f>Forecast!W135</f>
        <v>11173418.923482228</v>
      </c>
      <c r="V10" s="983">
        <f>Forecast!AH135</f>
        <v>10612691.691338796</v>
      </c>
      <c r="W10" s="983">
        <f>Forecast!AS135</f>
        <v>10060652.72356632</v>
      </c>
      <c r="X10" s="983">
        <f>Forecast!BD135</f>
        <v>10357628.536892463</v>
      </c>
      <c r="Y10" s="973">
        <f>Forecast!P135</f>
        <v>65958.022118567082</v>
      </c>
      <c r="Z10" s="1007">
        <f>Forecast!AA135</f>
        <v>59393.425629662132</v>
      </c>
      <c r="AA10" s="526">
        <f>Forecast!AL135</f>
        <v>56412.823954480504</v>
      </c>
      <c r="AB10" s="526">
        <f>Forecast!AW135</f>
        <v>53478.405617389129</v>
      </c>
      <c r="AC10" s="1017">
        <f>Forecast!BH135</f>
        <v>55057.010250705571</v>
      </c>
    </row>
    <row r="11" spans="2:29" s="58" customFormat="1" ht="15" thickBot="1">
      <c r="B11" s="277" t="s">
        <v>19</v>
      </c>
      <c r="C11" s="278">
        <f>Forecast!F137</f>
        <v>16572.880000000012</v>
      </c>
      <c r="D11" s="293">
        <f>Forecast!E137</f>
        <v>3117781.6238994678</v>
      </c>
      <c r="E11" s="305">
        <f>Forecast!H137</f>
        <v>9.5414126320407799E-3</v>
      </c>
      <c r="F11" s="955">
        <f>Forecast!S137</f>
        <v>6.6506721091372789E-3</v>
      </c>
      <c r="G11" s="964">
        <f>Forecast!AD137</f>
        <v>6.3944177610164576E-3</v>
      </c>
      <c r="H11" s="964">
        <f>Forecast!AO137</f>
        <v>6.2847709004891783E-3</v>
      </c>
      <c r="I11" s="955">
        <f>Forecast!AZ137</f>
        <v>6.2166428143841657E-3</v>
      </c>
      <c r="J11" s="974">
        <f>Forecast!J137</f>
        <v>17051.806768693936</v>
      </c>
      <c r="K11" s="289">
        <f>Forecast!U137</f>
        <v>18064.345359595558</v>
      </c>
      <c r="L11" s="293">
        <f>Forecast!AF137</f>
        <v>19189.648810966308</v>
      </c>
      <c r="M11" s="984">
        <f>Forecast!AQ137</f>
        <v>19750.731701234923</v>
      </c>
      <c r="N11" s="989">
        <f>Forecast!BB137</f>
        <v>20333.744530712796</v>
      </c>
      <c r="O11" s="299">
        <f>Forecast!I137</f>
        <v>3207879.9700304642</v>
      </c>
      <c r="P11" s="293">
        <f>Forecast!T137</f>
        <v>3398364.3162757843</v>
      </c>
      <c r="Q11" s="984">
        <f>Forecast!AE137</f>
        <v>3610062.6102352147</v>
      </c>
      <c r="R11" s="984">
        <f>Forecast!AP137</f>
        <v>3715616.6192405224</v>
      </c>
      <c r="S11" s="989">
        <f>Forecast!BA137</f>
        <v>3825296.2094049202</v>
      </c>
      <c r="T11" s="299">
        <f>Forecast!L137</f>
        <v>3207879.9700304642</v>
      </c>
      <c r="U11" s="984">
        <f>Forecast!W137</f>
        <v>2888609.6688344167</v>
      </c>
      <c r="V11" s="984">
        <f>Forecast!AH137</f>
        <v>2743647.5837787632</v>
      </c>
      <c r="W11" s="984">
        <f>Forecast!AS137</f>
        <v>2600931.6334683653</v>
      </c>
      <c r="X11" s="984">
        <f>Forecast!BD137</f>
        <v>2677707.3465834442</v>
      </c>
      <c r="Y11" s="973">
        <f>Forecast!P137</f>
        <v>17051.806768693936</v>
      </c>
      <c r="Z11" s="1007">
        <f>Forecast!AA137</f>
        <v>15354.693555656224</v>
      </c>
      <c r="AA11" s="526">
        <f>Forecast!AL137</f>
        <v>14584.133096334393</v>
      </c>
      <c r="AB11" s="526">
        <f>Forecast!AW137</f>
        <v>13825.512190864443</v>
      </c>
      <c r="AC11" s="1017">
        <f>Forecast!BH137</f>
        <v>14233.621171498957</v>
      </c>
    </row>
    <row r="12" spans="2:29" s="58" customFormat="1" ht="14.5">
      <c r="B12" s="273" t="s">
        <v>243</v>
      </c>
      <c r="C12" s="274">
        <f>Forecast!F146</f>
        <v>9994.9251468150014</v>
      </c>
      <c r="D12" s="291">
        <f>Forecast!E146</f>
        <v>64217.61</v>
      </c>
      <c r="E12" s="303">
        <f>Forecast!H146</f>
        <v>5.5901446822717027E-3</v>
      </c>
      <c r="F12" s="953">
        <f>Forecast!S146</f>
        <v>4.7941428184399282E-3</v>
      </c>
      <c r="G12" s="962">
        <f>Forecast!AD146</f>
        <v>4.9964430479310096E-3</v>
      </c>
      <c r="H12" s="962">
        <f>Forecast!AO146</f>
        <v>5.3537554888158922E-3</v>
      </c>
      <c r="I12" s="953">
        <f>Forecast!AZ146</f>
        <v>5.6543021227175583E-3</v>
      </c>
      <c r="J12" s="297">
        <f>Forecast!J146</f>
        <v>10163.48314157429</v>
      </c>
      <c r="K12" s="287">
        <f>Forecast!U146</f>
        <v>10636.084483731014</v>
      </c>
      <c r="L12" s="291">
        <f>Forecast!AF146</f>
        <v>11208.915972595742</v>
      </c>
      <c r="M12" s="982">
        <f>Forecast!AQ146</f>
        <v>11606.703060691052</v>
      </c>
      <c r="N12" s="310">
        <f>Forecast!BB146</f>
        <v>12038.91001357851</v>
      </c>
      <c r="O12" s="297">
        <f>Forecast!I146</f>
        <v>65300.598757878121</v>
      </c>
      <c r="P12" s="291">
        <f>Forecast!T146</f>
        <v>68337.072591378354</v>
      </c>
      <c r="Q12" s="982">
        <f>Forecast!AE146</f>
        <v>72017.527282863128</v>
      </c>
      <c r="R12" s="982">
        <f>Forecast!AP146</f>
        <v>74573.317917721506</v>
      </c>
      <c r="S12" s="310">
        <f>Forecast!BA146</f>
        <v>77350.256927480834</v>
      </c>
      <c r="T12" s="297">
        <f>Forecast!L146</f>
        <v>65300.598757878121</v>
      </c>
      <c r="U12" s="982" t="str">
        <f>Forecast!W146</f>
        <v>N/A</v>
      </c>
      <c r="V12" s="982" t="str">
        <f>Forecast!AH146</f>
        <v>N/A</v>
      </c>
      <c r="W12" s="982" t="str">
        <f>Forecast!AS146</f>
        <v>N/A</v>
      </c>
      <c r="X12" s="982" t="str">
        <f>Forecast!BD146</f>
        <v>N/A</v>
      </c>
      <c r="Y12" s="973">
        <f>Forecast!P146</f>
        <v>10163.48314157429</v>
      </c>
      <c r="Z12" s="1007">
        <f>Forecast!AA146</f>
        <v>2572.4431011037505</v>
      </c>
      <c r="AA12" s="526">
        <f>Forecast!AL146</f>
        <v>2572.4431011037505</v>
      </c>
      <c r="AB12" s="526">
        <f>Forecast!AW146</f>
        <v>2572.4431011037505</v>
      </c>
      <c r="AC12" s="1017">
        <f>Forecast!BH146</f>
        <v>2572.4431011037505</v>
      </c>
    </row>
    <row r="13" spans="2:29" s="58" customFormat="1" ht="14.5">
      <c r="B13" s="275" t="s">
        <v>247</v>
      </c>
      <c r="C13" s="276">
        <f>Forecast!F147</f>
        <v>283.71026250000006</v>
      </c>
      <c r="D13" s="292">
        <f>Forecast!E147</f>
        <v>102055.32</v>
      </c>
      <c r="E13" s="304">
        <f>Forecast!H147</f>
        <v>5.5901446822717027E-3</v>
      </c>
      <c r="F13" s="954">
        <f>Forecast!S147</f>
        <v>4.7941428184399282E-3</v>
      </c>
      <c r="G13" s="963">
        <f>Forecast!AD147</f>
        <v>4.9964430479310096E-3</v>
      </c>
      <c r="H13" s="963">
        <f>Forecast!AO147</f>
        <v>5.3537554888158922E-3</v>
      </c>
      <c r="I13" s="954">
        <f>Forecast!AZ147</f>
        <v>5.6543021227175583E-3</v>
      </c>
      <c r="J13" s="973">
        <f>Forecast!J147</f>
        <v>288.49485390385564</v>
      </c>
      <c r="K13" s="288">
        <f>Forecast!U147</f>
        <v>301.90984689996264</v>
      </c>
      <c r="L13" s="292">
        <f>Forecast!AF147</f>
        <v>318.16991585364218</v>
      </c>
      <c r="M13" s="983">
        <f>Forecast!AQ147</f>
        <v>329.46127397037549</v>
      </c>
      <c r="N13" s="988">
        <f>Forecast!BB147</f>
        <v>341.72965479933049</v>
      </c>
      <c r="O13" s="298">
        <f>Forecast!I147</f>
        <v>103776.4174410548</v>
      </c>
      <c r="P13" s="292">
        <f>Forecast!T147</f>
        <v>108602.01448132914</v>
      </c>
      <c r="Q13" s="983">
        <f>Forecast!AE147</f>
        <v>114451.03286250184</v>
      </c>
      <c r="R13" s="983">
        <f>Forecast!AP147</f>
        <v>118512.72296734186</v>
      </c>
      <c r="S13" s="988">
        <f>Forecast!BA147</f>
        <v>122925.86446017337</v>
      </c>
      <c r="T13" s="298">
        <f>Forecast!L147</f>
        <v>103776.4174410548</v>
      </c>
      <c r="U13" s="983">
        <f>Forecast!W147</f>
        <v>108602.01448132914</v>
      </c>
      <c r="V13" s="983">
        <f>Forecast!AH147</f>
        <v>114451.03286250184</v>
      </c>
      <c r="W13" s="983">
        <f>Forecast!AS147</f>
        <v>118512.72296734186</v>
      </c>
      <c r="X13" s="983">
        <f>Forecast!BD147</f>
        <v>122925.86446017337</v>
      </c>
      <c r="Y13" s="973">
        <f>Forecast!P147</f>
        <v>288.49485390385564</v>
      </c>
      <c r="Z13" s="1007">
        <f>Forecast!AA147</f>
        <v>301.90984689996264</v>
      </c>
      <c r="AA13" s="526">
        <f>Forecast!AL147</f>
        <v>318.16991585364218</v>
      </c>
      <c r="AB13" s="526">
        <f>Forecast!AW147</f>
        <v>329.46127397037549</v>
      </c>
      <c r="AC13" s="1017">
        <f>Forecast!BH147</f>
        <v>341.72965479933049</v>
      </c>
    </row>
    <row r="14" spans="2:29" s="58" customFormat="1" ht="15" thickBot="1">
      <c r="B14" s="277" t="s">
        <v>285</v>
      </c>
      <c r="C14" s="278">
        <v>0</v>
      </c>
      <c r="D14" s="293" t="s">
        <v>27</v>
      </c>
      <c r="E14" s="305" t="s">
        <v>27</v>
      </c>
      <c r="F14" s="955" t="s">
        <v>27</v>
      </c>
      <c r="G14" s="964" t="s">
        <v>27</v>
      </c>
      <c r="H14" s="964" t="s">
        <v>27</v>
      </c>
      <c r="I14" s="955" t="s">
        <v>27</v>
      </c>
      <c r="J14" s="974" t="s">
        <v>27</v>
      </c>
      <c r="K14" s="289" t="s">
        <v>27</v>
      </c>
      <c r="L14" s="293" t="s">
        <v>27</v>
      </c>
      <c r="M14" s="984" t="s">
        <v>27</v>
      </c>
      <c r="N14" s="989" t="s">
        <v>27</v>
      </c>
      <c r="O14" s="299" t="s">
        <v>27</v>
      </c>
      <c r="P14" s="293" t="s">
        <v>27</v>
      </c>
      <c r="Q14" s="984" t="s">
        <v>27</v>
      </c>
      <c r="R14" s="984" t="s">
        <v>27</v>
      </c>
      <c r="S14" s="989" t="s">
        <v>27</v>
      </c>
      <c r="T14" s="299" t="s">
        <v>27</v>
      </c>
      <c r="U14" s="984" t="s">
        <v>27</v>
      </c>
      <c r="V14" s="984" t="s">
        <v>27</v>
      </c>
      <c r="W14" s="984" t="s">
        <v>27</v>
      </c>
      <c r="X14" s="984" t="s">
        <v>27</v>
      </c>
      <c r="Y14" s="973" t="s">
        <v>27</v>
      </c>
      <c r="Z14" s="1007" t="s">
        <v>27</v>
      </c>
      <c r="AA14" s="526" t="s">
        <v>27</v>
      </c>
      <c r="AB14" s="523" t="s">
        <v>27</v>
      </c>
      <c r="AC14" s="1013" t="s">
        <v>27</v>
      </c>
    </row>
    <row r="15" spans="2:29" s="58" customFormat="1" ht="14.5">
      <c r="B15" s="279" t="s">
        <v>244</v>
      </c>
      <c r="C15" s="280">
        <f>Forecast!F149</f>
        <v>894.33303637502513</v>
      </c>
      <c r="D15" s="294">
        <f>Forecast!E149</f>
        <v>4825437.1635355251</v>
      </c>
      <c r="E15" s="306">
        <f>Forecast!H149</f>
        <v>5.5901446822717027E-3</v>
      </c>
      <c r="F15" s="956">
        <f>Forecast!S149</f>
        <v>4.7941428184399282E-3</v>
      </c>
      <c r="G15" s="965">
        <f>Forecast!AD149</f>
        <v>4.9964430479310096E-3</v>
      </c>
      <c r="H15" s="965">
        <f>Forecast!AO149</f>
        <v>5.3537554888158922E-3</v>
      </c>
      <c r="I15" s="956">
        <f>Forecast!AZ149</f>
        <v>5.6543021227175583E-3</v>
      </c>
      <c r="J15" s="975">
        <f>Forecast!J149</f>
        <v>909.41538877327162</v>
      </c>
      <c r="K15" s="976">
        <f>Forecast!U149</f>
        <v>951.70314852309048</v>
      </c>
      <c r="L15" s="977">
        <f>Forecast!AF149</f>
        <v>1002.959372781145</v>
      </c>
      <c r="M15" s="985">
        <f>Forecast!AQ149</f>
        <v>1038.5528493806596</v>
      </c>
      <c r="N15" s="990">
        <f>Forecast!BB149</f>
        <v>1077.2261711755118</v>
      </c>
      <c r="O15" s="300">
        <f>Forecast!I149</f>
        <v>4906815.0628369199</v>
      </c>
      <c r="P15" s="977">
        <f>Forecast!T149</f>
        <v>5134981.6620341679</v>
      </c>
      <c r="Q15" s="985">
        <f>Forecast!AE149</f>
        <v>5411538.2459213492</v>
      </c>
      <c r="R15" s="985">
        <f>Forecast!AP149</f>
        <v>5603585.3668226367</v>
      </c>
      <c r="S15" s="990">
        <f>Forecast!BA149</f>
        <v>5812250.0103458725</v>
      </c>
      <c r="T15" s="300">
        <f>Forecast!L149</f>
        <v>4906815.0628369199</v>
      </c>
      <c r="U15" s="985">
        <f>Forecast!W149</f>
        <v>5134981.6620341679</v>
      </c>
      <c r="V15" s="985">
        <f>Forecast!AH149</f>
        <v>5411538.2459213492</v>
      </c>
      <c r="W15" s="985">
        <f>Forecast!AS149</f>
        <v>5603585.3668226367</v>
      </c>
      <c r="X15" s="985">
        <f>Forecast!BD149</f>
        <v>5812250.0103458725</v>
      </c>
      <c r="Y15" s="973">
        <f>Forecast!P149</f>
        <v>1102.8748621408536</v>
      </c>
      <c r="Z15" s="1007">
        <f>Forecast!AA149</f>
        <v>875.67988126740238</v>
      </c>
      <c r="AA15" s="526">
        <f>Forecast!AL149</f>
        <v>307.61389754637071</v>
      </c>
      <c r="AB15" s="523">
        <f>Forecast!AW149</f>
        <v>0</v>
      </c>
      <c r="AC15" s="1017">
        <f>Forecast!BH149</f>
        <v>0</v>
      </c>
    </row>
    <row r="16" spans="2:29" s="58" customFormat="1" ht="15" thickBot="1">
      <c r="B16" s="281" t="s">
        <v>25</v>
      </c>
      <c r="C16" s="282">
        <f>Forecast!F148</f>
        <v>1891.97949094111</v>
      </c>
      <c r="D16" s="295" t="str">
        <f>Forecast!E148</f>
        <v>N/A</v>
      </c>
      <c r="E16" s="307">
        <f>Forecast!H148</f>
        <v>5.5901446822717027E-3</v>
      </c>
      <c r="F16" s="957">
        <f>Forecast!S148</f>
        <v>4.7941428184399282E-3</v>
      </c>
      <c r="G16" s="966">
        <f>Forecast!AD148</f>
        <v>4.9964430479310096E-3</v>
      </c>
      <c r="H16" s="966">
        <f>Forecast!AO148</f>
        <v>5.3537554888158922E-3</v>
      </c>
      <c r="I16" s="957">
        <f>Forecast!AZ148</f>
        <v>5.6543021227175583E-3</v>
      </c>
      <c r="J16" s="301">
        <f>Forecast!J148</f>
        <v>1923.8865101968127</v>
      </c>
      <c r="K16" s="290">
        <f>Forecast!U148</f>
        <v>2013.3471148154172</v>
      </c>
      <c r="L16" s="295">
        <f>Forecast!AF148</f>
        <v>2121.7806861306249</v>
      </c>
      <c r="M16" s="986">
        <f>Forecast!AQ148</f>
        <v>2197.0794003663527</v>
      </c>
      <c r="N16" s="311">
        <f>Forecast!BB148</f>
        <v>2278.8935889364188</v>
      </c>
      <c r="O16" s="301" t="str">
        <f>Forecast!I148</f>
        <v>N/A</v>
      </c>
      <c r="P16" s="295" t="str">
        <f>Forecast!T148</f>
        <v>N/A</v>
      </c>
      <c r="Q16" s="986" t="str">
        <f>Forecast!AE148</f>
        <v>N/A</v>
      </c>
      <c r="R16" s="986" t="str">
        <f>Forecast!AP148</f>
        <v>N/A</v>
      </c>
      <c r="S16" s="311" t="str">
        <f>Forecast!BA148</f>
        <v>N/A</v>
      </c>
      <c r="T16" s="301" t="str">
        <f>Forecast!L148</f>
        <v>N/A</v>
      </c>
      <c r="U16" s="986" t="str">
        <f>Forecast!W148</f>
        <v>N/A</v>
      </c>
      <c r="V16" s="986" t="str">
        <f>Forecast!AH148</f>
        <v>N/A</v>
      </c>
      <c r="W16" s="986" t="str">
        <f>Forecast!AS148</f>
        <v>N/A</v>
      </c>
      <c r="X16" s="986" t="str">
        <f>Forecast!BD148</f>
        <v>N/A</v>
      </c>
      <c r="Y16" s="973">
        <f>Forecast!P148</f>
        <v>1923.8865101968127</v>
      </c>
      <c r="Z16" s="1007">
        <f>Forecast!AA148</f>
        <v>2013.3471148154172</v>
      </c>
      <c r="AA16" s="526">
        <f>Forecast!AL148</f>
        <v>2121.7806861306249</v>
      </c>
      <c r="AB16" s="526">
        <f>Forecast!AW148</f>
        <v>2197.0794003663527</v>
      </c>
      <c r="AC16" s="1017">
        <f>Forecast!BH148</f>
        <v>2278.8935889364188</v>
      </c>
    </row>
    <row r="17" spans="1:29" s="58" customFormat="1" ht="14.5">
      <c r="B17" s="273" t="s">
        <v>421</v>
      </c>
      <c r="C17" s="283"/>
      <c r="D17" s="291">
        <f>Forecast!E138</f>
        <v>610873868.24579096</v>
      </c>
      <c r="E17" s="308"/>
      <c r="F17" s="958"/>
      <c r="G17" s="967"/>
      <c r="H17" s="967"/>
      <c r="I17" s="958"/>
      <c r="J17" s="302"/>
      <c r="K17" s="284"/>
      <c r="L17" s="296"/>
      <c r="M17" s="987"/>
      <c r="N17" s="991"/>
      <c r="O17" s="297">
        <f>Forecast!I138</f>
        <v>614437650.07594717</v>
      </c>
      <c r="P17" s="291">
        <f>Forecast!T138</f>
        <v>626467761.0918504</v>
      </c>
      <c r="Q17" s="982">
        <f>Forecast!AE138</f>
        <v>638733410.36136985</v>
      </c>
      <c r="R17" s="982">
        <f>Forecast!AP138</f>
        <v>644955999.46521568</v>
      </c>
      <c r="S17" s="310">
        <f>Forecast!BA138</f>
        <v>651239209.50187504</v>
      </c>
      <c r="T17" s="297">
        <f>Forecast!L138</f>
        <v>614437650.07594717</v>
      </c>
      <c r="U17" s="982">
        <f>Forecast!W138</f>
        <v>626467761.0918504</v>
      </c>
      <c r="V17" s="982">
        <f>Forecast!AH138</f>
        <v>638733410.36136985</v>
      </c>
      <c r="W17" s="982">
        <f>Forecast!AS138</f>
        <v>644955999.46521568</v>
      </c>
      <c r="X17" s="982">
        <f>Forecast!BD138</f>
        <v>651239209.50187504</v>
      </c>
      <c r="Y17" s="1010"/>
      <c r="Z17" s="1008"/>
      <c r="AA17" s="1014"/>
      <c r="AB17" s="1014"/>
      <c r="AC17" s="1015"/>
    </row>
    <row r="18" spans="1:29" s="58" customFormat="1" ht="14.5">
      <c r="B18" s="275" t="s">
        <v>422</v>
      </c>
      <c r="C18" s="276">
        <f>SUM(Forecast!F139,Forecast!F141)</f>
        <v>240063.13361710607</v>
      </c>
      <c r="D18" s="292">
        <f>SUM(Forecast!E139,Forecast!E141)</f>
        <v>26870245.397374064</v>
      </c>
      <c r="E18" s="304">
        <f>Forecast!H139</f>
        <v>1.940866536300323E-3</v>
      </c>
      <c r="F18" s="954">
        <f>Forecast!S139</f>
        <v>1.940866536300323E-3</v>
      </c>
      <c r="G18" s="963">
        <f>Forecast!AD139</f>
        <v>1.940866536300323E-3</v>
      </c>
      <c r="H18" s="963">
        <f>Forecast!AO139</f>
        <v>1.940866536300323E-3</v>
      </c>
      <c r="I18" s="954">
        <f>Forecast!AZ139</f>
        <v>1.940866536300323E-3</v>
      </c>
      <c r="J18" s="973">
        <f>SUM(Forecast!J139,Forecast!J141)</f>
        <v>241463.63980692194</v>
      </c>
      <c r="K18" s="288">
        <f>SUM(Forecast!U139,Forecast!U141)</f>
        <v>246191.27066226144</v>
      </c>
      <c r="L18" s="292">
        <f>SUM(Forecast!AF139,Forecast!AF141)</f>
        <v>251011.46408114975</v>
      </c>
      <c r="M18" s="983">
        <f>SUM(Forecast!AQ139,Forecast!AQ141)</f>
        <v>253456.83671391694</v>
      </c>
      <c r="N18" s="988">
        <f>SUM(Forecast!BB139,Forecast!BB141)</f>
        <v>255926.03235148184</v>
      </c>
      <c r="O18" s="298">
        <f>SUM(Forecast!I139,Forecast!I141)</f>
        <v>27027003.931822404</v>
      </c>
      <c r="P18" s="292">
        <f>SUM(Forecast!T139,Forecast!T141)</f>
        <v>27556167.236979388</v>
      </c>
      <c r="Q18" s="983">
        <f>SUM(Forecast!AE139,Forecast!AE141)</f>
        <v>28095691.061720073</v>
      </c>
      <c r="R18" s="983">
        <f>SUM(Forecast!AP139,Forecast!AP141)</f>
        <v>28369401.405080333</v>
      </c>
      <c r="S18" s="988">
        <f>SUM(Forecast!BA139,Forecast!BA141)</f>
        <v>28645778.255268902</v>
      </c>
      <c r="T18" s="298">
        <f>SUM(Forecast!L139,Forecast!L141)</f>
        <v>25221215.104711596</v>
      </c>
      <c r="U18" s="983">
        <f>SUM(Forecast!W139,Forecast!W141)</f>
        <v>20057669.938057285</v>
      </c>
      <c r="V18" s="983">
        <f>SUM(Forecast!AH139,Forecast!AH141)</f>
        <v>18767170.706492737</v>
      </c>
      <c r="W18" s="983">
        <f>SUM(Forecast!AS139,Forecast!AS141)</f>
        <v>18709798.678597003</v>
      </c>
      <c r="X18" s="983">
        <f>SUM(Forecast!BD139,Forecast!BD141)</f>
        <v>15235821.371114299</v>
      </c>
      <c r="Y18" s="973">
        <f>SUM(Forecast!P139,Forecast!P141)</f>
        <v>225330.42933280606</v>
      </c>
      <c r="Z18" s="1007">
        <f>SUM(Forecast!AA139,Forecast!AA141)</f>
        <v>179198.47873284481</v>
      </c>
      <c r="AA18" s="526">
        <f>SUM(Forecast!AL139,Forecast!AL141)</f>
        <v>167668.94914060197</v>
      </c>
      <c r="AB18" s="526">
        <f>SUM(Forecast!AW139,Forecast!AW141)</f>
        <v>167156.37813148252</v>
      </c>
      <c r="AC18" s="1017">
        <f>SUM(Forecast!BH139,Forecast!BH141)</f>
        <v>136119.3010145569</v>
      </c>
    </row>
    <row r="19" spans="1:29" s="58" customFormat="1" ht="14.5">
      <c r="B19" s="275" t="s">
        <v>423</v>
      </c>
      <c r="C19" s="276">
        <f>SUM(Forecast!F140,Forecast!F142)</f>
        <v>32510.268910034683</v>
      </c>
      <c r="D19" s="292">
        <f>SUM(Forecast!E140,Forecast!E142)</f>
        <v>3181013.2901654062</v>
      </c>
      <c r="E19" s="304">
        <f>Forecast!H140</f>
        <v>1.940866536300323E-3</v>
      </c>
      <c r="F19" s="954">
        <f>Forecast!S140</f>
        <v>1.940866536300323E-3</v>
      </c>
      <c r="G19" s="963">
        <f>Forecast!AD140</f>
        <v>1.940866536300323E-3</v>
      </c>
      <c r="H19" s="963">
        <f>Forecast!AO140</f>
        <v>1.940866536300323E-3</v>
      </c>
      <c r="I19" s="954">
        <f>Forecast!AZ140</f>
        <v>1.940866536300323E-3</v>
      </c>
      <c r="J19" s="973">
        <f>SUM(Forecast!J140,Forecast!J142)</f>
        <v>32699.930821695401</v>
      </c>
      <c r="K19" s="288">
        <f>SUM(Forecast!U140,Forecast!U142)</f>
        <v>33340.164697254178</v>
      </c>
      <c r="L19" s="292">
        <f>SUM(Forecast!AF140,Forecast!AF142)</f>
        <v>33992.933749650118</v>
      </c>
      <c r="M19" s="983">
        <f>SUM(Forecast!AQ140,Forecast!AQ142)</f>
        <v>34324.095476478615</v>
      </c>
      <c r="N19" s="988">
        <f>SUM(Forecast!BB140,Forecast!BB142)</f>
        <v>34658.483405850369</v>
      </c>
      <c r="O19" s="298">
        <f>SUM(Forecast!I140,Forecast!I142)</f>
        <v>3199571.0284388261</v>
      </c>
      <c r="P19" s="292">
        <f>SUM(Forecast!T140,Forecast!T142)</f>
        <v>3262215.618448291</v>
      </c>
      <c r="Q19" s="983">
        <f>SUM(Forecast!AE140,Forecast!AE142)</f>
        <v>3326086.730582932</v>
      </c>
      <c r="R19" s="983">
        <f>SUM(Forecast!AP140,Forecast!AP142)</f>
        <v>3358489.7186095989</v>
      </c>
      <c r="S19" s="988">
        <f>SUM(Forecast!BA140,Forecast!BA142)</f>
        <v>3391208.3789918311</v>
      </c>
      <c r="T19" s="298">
        <f>SUM(Forecast!L140,Forecast!L142)</f>
        <v>2890807.0082135145</v>
      </c>
      <c r="U19" s="983">
        <f>SUM(Forecast!W140,Forecast!W142)</f>
        <v>2336087.0658304994</v>
      </c>
      <c r="V19" s="983">
        <f>SUM(Forecast!AH140,Forecast!AH142)</f>
        <v>2174895.4150405228</v>
      </c>
      <c r="W19" s="983">
        <f>SUM(Forecast!AS140,Forecast!AS142)</f>
        <v>2162956.2606808054</v>
      </c>
      <c r="X19" s="983">
        <f>SUM(Forecast!BD140,Forecast!BD142)</f>
        <v>1666203.3077385395</v>
      </c>
      <c r="Y19" s="973">
        <f>SUM(Forecast!P140,Forecast!P142)</f>
        <v>29544.332145543274</v>
      </c>
      <c r="Z19" s="1007">
        <f>SUM(Forecast!AA140,Forecast!AA142)</f>
        <v>23875.03973724497</v>
      </c>
      <c r="AA19" s="526">
        <f>SUM(Forecast!AL140,Forecast!AL142)</f>
        <v>22227.64520122212</v>
      </c>
      <c r="AB19" s="526">
        <f>SUM(Forecast!AW140,Forecast!AW142)</f>
        <v>22105.625868579653</v>
      </c>
      <c r="AC19" s="1017">
        <f>SUM(Forecast!BH140,Forecast!BH142)</f>
        <v>17028.761797644838</v>
      </c>
    </row>
    <row r="20" spans="1:29" s="58" customFormat="1" ht="14.5">
      <c r="B20" s="275" t="s">
        <v>245</v>
      </c>
      <c r="C20" s="276">
        <f>Forecast!F143</f>
        <v>50669.29486004221</v>
      </c>
      <c r="D20" s="292">
        <f>Forecast!E143</f>
        <v>4931884.6213036841</v>
      </c>
      <c r="E20" s="304">
        <f>Forecast!H143</f>
        <v>1.940866536300323E-3</v>
      </c>
      <c r="F20" s="954">
        <f>Forecast!S143</f>
        <v>1.940866536300323E-3</v>
      </c>
      <c r="G20" s="963">
        <f>Forecast!AD143</f>
        <v>1.940866536300323E-3</v>
      </c>
      <c r="H20" s="963">
        <f>Forecast!AO143</f>
        <v>1.940866536300323E-3</v>
      </c>
      <c r="I20" s="954">
        <f>Forecast!AZ143</f>
        <v>1.940866536300323E-3</v>
      </c>
      <c r="J20" s="973">
        <f>Forecast!J143</f>
        <v>50964.894854993036</v>
      </c>
      <c r="K20" s="288">
        <f>Forecast!U143</f>
        <v>51962.739539386341</v>
      </c>
      <c r="L20" s="292">
        <f>Forecast!AF143</f>
        <v>52980.121083749735</v>
      </c>
      <c r="M20" s="983">
        <f>Forecast!AQ143</f>
        <v>53496.257422992836</v>
      </c>
      <c r="N20" s="988">
        <f>Forecast!BB143</f>
        <v>54017.422001417675</v>
      </c>
      <c r="O20" s="298">
        <f>Forecast!I143</f>
        <v>4960656.7815080509</v>
      </c>
      <c r="P20" s="292">
        <f>Forecast!T143</f>
        <v>5057781.7734188791</v>
      </c>
      <c r="Q20" s="983">
        <f>Forecast!AE143</f>
        <v>5156808.381278798</v>
      </c>
      <c r="R20" s="983">
        <f>Forecast!AP143</f>
        <v>5207046.397833799</v>
      </c>
      <c r="S20" s="988">
        <f>Forecast!BA143</f>
        <v>5257773.8369387118</v>
      </c>
      <c r="T20" s="298">
        <f>Forecast!L143</f>
        <v>4823352.6103663491</v>
      </c>
      <c r="U20" s="983">
        <f>Forecast!W143</f>
        <v>4253051.5434589898</v>
      </c>
      <c r="V20" s="983">
        <f>Forecast!AH143</f>
        <v>4336322.2906500939</v>
      </c>
      <c r="W20" s="983">
        <f>Forecast!AS143</f>
        <v>4378567.0697689718</v>
      </c>
      <c r="X20" s="983">
        <f>Forecast!BD143</f>
        <v>4421223.4007152226</v>
      </c>
      <c r="Y20" s="973">
        <f>Forecast!P143</f>
        <v>49554.256515433997</v>
      </c>
      <c r="Z20" s="1007">
        <f>Forecast!AA143</f>
        <v>43695.086008219834</v>
      </c>
      <c r="AA20" s="526">
        <f>Forecast!AL143</f>
        <v>44550.594676126741</v>
      </c>
      <c r="AB20" s="526">
        <f>Forecast!AW143</f>
        <v>44984.609932733852</v>
      </c>
      <c r="AC20" s="1017">
        <f>Forecast!BH143</f>
        <v>45422.853398736072</v>
      </c>
    </row>
    <row r="21" spans="1:29" s="58" customFormat="1" ht="15" thickBot="1">
      <c r="B21" s="277" t="s">
        <v>246</v>
      </c>
      <c r="C21" s="278">
        <f>SUM(Forecast!F144,Forecast!F145)</f>
        <v>1709.1132116712972</v>
      </c>
      <c r="D21" s="293">
        <f>SUM(Forecast!E144,Forecast!E145)</f>
        <v>166356.15687945648</v>
      </c>
      <c r="E21" s="307">
        <f>Forecast!H144</f>
        <v>1.940866536300323E-3</v>
      </c>
      <c r="F21" s="957">
        <f>Forecast!S144</f>
        <v>1.940866536300323E-3</v>
      </c>
      <c r="G21" s="966">
        <f>Forecast!AD144</f>
        <v>1.940866536300323E-3</v>
      </c>
      <c r="H21" s="966">
        <f>Forecast!AO144</f>
        <v>1.940866536300323E-3</v>
      </c>
      <c r="I21" s="957">
        <f>Forecast!AZ144</f>
        <v>1.940866536300323E-3</v>
      </c>
      <c r="J21" s="974">
        <f>SUM(Forecast!J144:J145)</f>
        <v>1719.0840205830045</v>
      </c>
      <c r="K21" s="289">
        <f>SUM(Forecast!U144:U145)</f>
        <v>1752.742068085013</v>
      </c>
      <c r="L21" s="293">
        <f>SUM(Forecast!AF144:AF145)</f>
        <v>1787.0591084856137</v>
      </c>
      <c r="M21" s="984">
        <f>SUM(Forecast!AQ144:AQ145)</f>
        <v>1804.4687732315049</v>
      </c>
      <c r="N21" s="989">
        <f>SUM(Forecast!BB144:BB145)</f>
        <v>1822.0480442456635</v>
      </c>
      <c r="O21" s="301">
        <f>SUM(Forecast!I144:I145)</f>
        <v>167326.66336211891</v>
      </c>
      <c r="P21" s="295">
        <f>SUM(Forecast!T144:T145)</f>
        <v>170602.76197996587</v>
      </c>
      <c r="Q21" s="986">
        <f>SUM(Forecast!AE144:AE145)</f>
        <v>173943.00352601212</v>
      </c>
      <c r="R21" s="986">
        <f>SUM(Forecast!AP144:AP145)</f>
        <v>175637.56939789728</v>
      </c>
      <c r="S21" s="311">
        <f>SUM(Forecast!BA144:BA145)</f>
        <v>177348.64385843469</v>
      </c>
      <c r="T21" s="301">
        <f>SUM(Forecast!L144:L145)</f>
        <v>167326.66336211891</v>
      </c>
      <c r="U21" s="986">
        <f>SUM(Forecast!W144:W145)</f>
        <v>35852.697192429187</v>
      </c>
      <c r="V21" s="986">
        <f>SUM(Forecast!AH144:AH145)</f>
        <v>23751.083968440747</v>
      </c>
      <c r="W21" s="986">
        <f>SUM(Forecast!AS144:AS145)</f>
        <v>23982.468821509472</v>
      </c>
      <c r="X21" s="984">
        <f>SUM(Forecast!BD144:BD145)</f>
        <v>24216.10784328479</v>
      </c>
      <c r="Y21" s="974">
        <f>SUM(Forecast!P144:P145)</f>
        <v>1719.0840205830045</v>
      </c>
      <c r="Z21" s="1011">
        <f>SUM(Forecast!AA144:AA145)</f>
        <v>368.34415746952283</v>
      </c>
      <c r="AA21" s="527">
        <f>SUM(Forecast!AL144:AL145)</f>
        <v>244.01436149664585</v>
      </c>
      <c r="AB21" s="527">
        <f>SUM(Forecast!AW144:AW145)</f>
        <v>246.3915678278004</v>
      </c>
      <c r="AC21" s="1018">
        <f>SUM(Forecast!BH144:BH145)</f>
        <v>248.79193308249612</v>
      </c>
    </row>
    <row r="22" spans="1:29" s="58" customFormat="1" ht="15" thickBot="1">
      <c r="B22" s="285" t="s">
        <v>6</v>
      </c>
      <c r="C22" s="1020">
        <f>SUM(C6:C21)</f>
        <v>591175.85452811304</v>
      </c>
      <c r="D22" s="968"/>
      <c r="E22" s="969"/>
      <c r="F22" s="970"/>
      <c r="G22" s="970"/>
      <c r="H22" s="971"/>
      <c r="I22" s="972"/>
      <c r="J22" s="992">
        <f>SUM(J6:J21)</f>
        <v>599263.07512561907</v>
      </c>
      <c r="K22" s="993">
        <f>SUM(K6:K21)</f>
        <v>620211.92548662028</v>
      </c>
      <c r="L22" s="993">
        <f>SUM(L6:L21)</f>
        <v>643497.58383373928</v>
      </c>
      <c r="M22" s="993">
        <f>SUM(M6:M21)</f>
        <v>656562.4613759761</v>
      </c>
      <c r="N22" s="993">
        <f>SUM(N6:N21)</f>
        <v>670274.25131845882</v>
      </c>
      <c r="O22" s="1002"/>
      <c r="P22" s="1003"/>
      <c r="Q22" s="1003"/>
      <c r="R22" s="1003"/>
      <c r="S22" s="1004"/>
      <c r="T22" s="971"/>
      <c r="U22" s="971"/>
      <c r="V22" s="971"/>
      <c r="W22" s="971"/>
      <c r="X22" s="972"/>
      <c r="Y22" s="996">
        <f>SUM(Y6:Y21)</f>
        <v>598847.1133330036</v>
      </c>
      <c r="Z22" s="997">
        <f>SUM(Z6:Z21)</f>
        <v>466812.90280641936</v>
      </c>
      <c r="AA22" s="997">
        <f>SUM(AA6:AA21)</f>
        <v>389271.17814401299</v>
      </c>
      <c r="AB22" s="997">
        <f>SUM(AB6:AB21)</f>
        <v>363481.64088327694</v>
      </c>
      <c r="AC22" s="998">
        <f>SUM(AC6:AC21)</f>
        <v>331193.46720553003</v>
      </c>
    </row>
    <row r="23" spans="1:29" s="58" customFormat="1" ht="15" thickBot="1">
      <c r="B23" s="1290" t="s">
        <v>424</v>
      </c>
      <c r="C23" s="1291"/>
      <c r="D23" s="1215"/>
      <c r="E23" s="1292"/>
      <c r="F23" s="1292"/>
      <c r="G23" s="1292"/>
      <c r="H23" s="1293"/>
      <c r="I23" s="286"/>
      <c r="J23" s="286"/>
    </row>
    <row r="24" spans="1:29" s="58" customFormat="1" ht="14.5">
      <c r="A24" s="286"/>
    </row>
    <row r="25" spans="1:29" s="58" customFormat="1"/>
    <row r="26" spans="1:29" s="58" customFormat="1"/>
    <row r="27" spans="1:29" s="58" customFormat="1"/>
    <row r="28" spans="1:29" s="58" customFormat="1"/>
    <row r="29" spans="1:29" s="58" customFormat="1"/>
    <row r="30" spans="1:29" s="58" customFormat="1"/>
    <row r="31" spans="1:29" s="58" customFormat="1" ht="19.5" customHeight="1"/>
    <row r="32" spans="1:29" s="58" customFormat="1"/>
    <row r="38" s="58" customFormat="1"/>
    <row r="40" s="58" customFormat="1"/>
    <row r="42" s="58" customFormat="1"/>
    <row r="47" s="58" customFormat="1"/>
    <row r="48" s="58" customFormat="1"/>
    <row r="49" s="58" customFormat="1"/>
    <row r="50" s="58" customFormat="1"/>
    <row r="55" s="58" customFormat="1"/>
    <row r="56" s="58" customFormat="1"/>
  </sheetData>
  <mergeCells count="9">
    <mergeCell ref="Y4:AC4"/>
    <mergeCell ref="B3:AC3"/>
    <mergeCell ref="B23:H23"/>
    <mergeCell ref="B1:H1"/>
    <mergeCell ref="C4:D4"/>
    <mergeCell ref="E4:I4"/>
    <mergeCell ref="J4:N4"/>
    <mergeCell ref="O4:S4"/>
    <mergeCell ref="T4:X4"/>
  </mergeCells>
  <phoneticPr fontId="8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GHG Inventories</vt:lpstr>
      <vt:lpstr>Forecast</vt:lpstr>
      <vt:lpstr>Chart Areas</vt:lpstr>
      <vt:lpstr>Calcs</vt:lpstr>
      <vt:lpstr>State Policies + Assumptions</vt:lpstr>
      <vt:lpstr>Plan Bay Area Data</vt:lpstr>
      <vt:lpstr>2030 Emissions Reduction Summ.</vt:lpstr>
      <vt:lpstr>Menu Of Measures Inputs</vt:lpstr>
      <vt:lpstr>SMC_EMFAC_2015</vt:lpstr>
      <vt:lpstr>SMC_EMFAC_2017</vt:lpstr>
      <vt:lpstr>SMC_EMFAC_2020</vt:lpstr>
      <vt:lpstr>SMC_EMFAC_2030</vt:lpstr>
      <vt:lpstr>SMC_EMFAC_2040</vt:lpstr>
      <vt:lpstr>SMC_EMFAC_2045</vt:lpstr>
      <vt:lpstr>SMC_EMFAC_2050</vt:lpstr>
      <vt:lpstr>Graphs</vt:lpstr>
    </vt:vector>
  </TitlesOfParts>
  <Company>KEMA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Rohilla</dc:creator>
  <cp:lastModifiedBy>Susan Wright</cp:lastModifiedBy>
  <dcterms:created xsi:type="dcterms:W3CDTF">2011-08-22T20:22:53Z</dcterms:created>
  <dcterms:modified xsi:type="dcterms:W3CDTF">2020-07-21T07:05:18Z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822228b3-7f95-48b8-93f0-4dbec2a78d27</vt:lpwstr>
  </property>
</Properties>
</file>